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9210" tabRatio="799" firstSheet="1" activeTab="2"/>
  </bookViews>
  <sheets>
    <sheet name="Instructions Payment Asst Calcs" sheetId="1" r:id="rId1"/>
    <sheet name="Instructions Max Loan Amt" sheetId="2" r:id="rId2"/>
    <sheet name="Payment Assistance Calc" sheetId="3" r:id="rId3"/>
    <sheet name="Max Loan Amt" sheetId="4" r:id="rId4"/>
    <sheet name="Construction Reduced Int Rate" sheetId="5" r:id="rId5"/>
  </sheets>
  <definedNames>
    <definedName name="cum_interest">OFFSET(#REF!,2,0,#REF!,1)</definedName>
    <definedName name="cum_principal">OFFSET(#REF!,2,0,#REF!,1)</definedName>
    <definedName name="period_number">OFFSET(#REF!,2,0,#REF!,1)</definedName>
    <definedName name="_xlnm.Print_Area" localSheetId="1">'Instructions Max Loan Amt'!$A$1:$E$37</definedName>
    <definedName name="_xlnm.Print_Area" localSheetId="3">'Max Loan Amt'!$A$1:$F$40</definedName>
  </definedNames>
  <calcPr fullCalcOnLoad="1"/>
</workbook>
</file>

<file path=xl/sharedStrings.xml><?xml version="1.0" encoding="utf-8"?>
<sst xmlns="http://schemas.openxmlformats.org/spreadsheetml/2006/main" count="208" uniqueCount="155">
  <si>
    <t>Loan Number</t>
  </si>
  <si>
    <t>Interest Rate</t>
  </si>
  <si>
    <t>Principal</t>
  </si>
  <si>
    <t>Monthly Note Payment</t>
  </si>
  <si>
    <t>Annual Note Payment</t>
  </si>
  <si>
    <t>Leveraged Loan</t>
  </si>
  <si>
    <t>Annual Income</t>
  </si>
  <si>
    <t>Child Care</t>
  </si>
  <si>
    <t>Medical</t>
  </si>
  <si>
    <t>Term (Months)</t>
  </si>
  <si>
    <t>Total Deductions</t>
  </si>
  <si>
    <t>Elderly/Disabled (Y/N)</t>
  </si>
  <si>
    <t>Dependents (#)</t>
  </si>
  <si>
    <t>Adjusted Income</t>
  </si>
  <si>
    <t>Option 1</t>
  </si>
  <si>
    <t>Property Insurance</t>
  </si>
  <si>
    <t>Real Estate Tax</t>
  </si>
  <si>
    <t>24% of Adjusted Income</t>
  </si>
  <si>
    <t>Difference</t>
  </si>
  <si>
    <t>Option 2</t>
  </si>
  <si>
    <t>Monthly Payment Assistance</t>
  </si>
  <si>
    <t>Monthly Installment (P&amp;I)</t>
  </si>
  <si>
    <t>PITI at Note Rate</t>
  </si>
  <si>
    <t>Note Payment</t>
  </si>
  <si>
    <t>Only highlighted fields require input</t>
  </si>
  <si>
    <t xml:space="preserve"> </t>
  </si>
  <si>
    <t>Other Debt</t>
  </si>
  <si>
    <t>Description</t>
  </si>
  <si>
    <t>Monthly Payment</t>
  </si>
  <si>
    <t>Choose Income Category</t>
  </si>
  <si>
    <t>LOW</t>
  </si>
  <si>
    <t>VERY LOW</t>
  </si>
  <si>
    <t>PITI</t>
  </si>
  <si>
    <t>Totals:</t>
  </si>
  <si>
    <t>Actual % PITI</t>
  </si>
  <si>
    <t>Actual % TDR</t>
  </si>
  <si>
    <t>PITI Maximum $ Allowed</t>
  </si>
  <si>
    <t>Hidden Calculation (Maximum Other Debt)</t>
  </si>
  <si>
    <t xml:space="preserve">Hidden Calculation (netting out other debt) </t>
  </si>
  <si>
    <t>Maximum Loan Amount/Repayment Ratio Calculation Spreadsheet</t>
  </si>
  <si>
    <t>Applicant #1</t>
  </si>
  <si>
    <t>Applicant #2</t>
  </si>
  <si>
    <t>Household Size (#)</t>
  </si>
  <si>
    <t>New Payment Assistance Method Calculation Spreadsheet - Field Use</t>
  </si>
  <si>
    <t>Annual Real Estate Tax</t>
  </si>
  <si>
    <t>Annual Property Insurance</t>
  </si>
  <si>
    <t>Annual Deduction Amount</t>
  </si>
  <si>
    <t>Loan</t>
  </si>
  <si>
    <t>Total</t>
  </si>
  <si>
    <t xml:space="preserve">The first line is for the primary loan number.  If a subsequent loan is involved, </t>
  </si>
  <si>
    <t>place that loan number on the second line.</t>
  </si>
  <si>
    <t>Insert the amounts shown on the promissory note or assumption agreement.</t>
  </si>
  <si>
    <t>second line.</t>
  </si>
  <si>
    <t>If a leveraged loan does not meet the criteria, for inclusion in the new payment</t>
  </si>
  <si>
    <t>Annual Note Payment column.</t>
  </si>
  <si>
    <t>Insert the total number of household members.</t>
  </si>
  <si>
    <t>Elderly/Disabled</t>
  </si>
  <si>
    <t>Dependents</t>
  </si>
  <si>
    <t>Enter the total number of dependents in the household.</t>
  </si>
  <si>
    <t>Enter the total qualifying annual income for the household.</t>
  </si>
  <si>
    <t>Real Estate Taxes</t>
  </si>
  <si>
    <t xml:space="preserve">Insert the annual real estate taxes, less abatements, applicable to the </t>
  </si>
  <si>
    <t>dwelling and dwelling site as improved.  If the dwelling is on a farm, only</t>
  </si>
  <si>
    <t>the taxes applicable to the dwelling and dwelling site should be shown.</t>
  </si>
  <si>
    <t>Insert the annual property insurance being paid for the dwelling.</t>
  </si>
  <si>
    <t>Instructions for Data Entry Fields</t>
  </si>
  <si>
    <t>assistance calculation, its annual note payment will not be calculated in the</t>
  </si>
  <si>
    <t xml:space="preserve">lender's loan documents. </t>
  </si>
  <si>
    <t xml:space="preserve">If applicable, enter the interest rate, term and principal from the leveraged </t>
  </si>
  <si>
    <t>If the household qualifies for the elderly or disabled deduction, enter Y else enter N.</t>
  </si>
  <si>
    <t xml:space="preserve">If a subsequent loan is involved, insert the amounts for the subsequent loan on the </t>
  </si>
  <si>
    <t>Enter only qualifying annual child care costs.</t>
  </si>
  <si>
    <t>Enter only qualifying annual medical costs.</t>
  </si>
  <si>
    <t>Initial Loan</t>
  </si>
  <si>
    <t>Leveraged Loan 1</t>
  </si>
  <si>
    <t>Leveraged Loan 2</t>
  </si>
  <si>
    <t xml:space="preserve">Total </t>
  </si>
  <si>
    <t>Applicant # 1 and 2</t>
  </si>
  <si>
    <t>Names of Applicants</t>
  </si>
  <si>
    <t>Choose the correct income category in the drop down menu</t>
  </si>
  <si>
    <t xml:space="preserve">The spreadsheet will do the rest of the calculations for you. </t>
  </si>
  <si>
    <t>Regular assessments, such as homeowner assessments;</t>
  </si>
  <si>
    <t>Long-term obligations with more than 6 months repayment remaining, including loans, alimony, and child support;</t>
  </si>
  <si>
    <t>Payments that come due in the next 12 months, including deferred loans and balloon payments;</t>
  </si>
  <si>
    <t>The minimum monthly payment required for revolving credit card debts</t>
  </si>
  <si>
    <t>Short-term obligations that are considered to have a significant impact on repayment ability, such as large medical bills and car or other credit payments.</t>
  </si>
  <si>
    <t xml:space="preserve">List all appropriate debts including: </t>
  </si>
  <si>
    <t>Household Size</t>
  </si>
  <si>
    <t>Income Category</t>
  </si>
  <si>
    <t>Applicant #1 and 2</t>
  </si>
  <si>
    <t>Enter the names as appropriate</t>
  </si>
  <si>
    <t xml:space="preserve">There are two worksheets.  The first one calculates Payment Assistance.  </t>
  </si>
  <si>
    <t xml:space="preserve">The second sheet calculates the maximum loan amount. </t>
  </si>
  <si>
    <t>Effective Date</t>
  </si>
  <si>
    <t>Expiration Date</t>
  </si>
  <si>
    <t>Agreement Dates:</t>
  </si>
  <si>
    <t>Y</t>
  </si>
  <si>
    <t>N</t>
  </si>
  <si>
    <t>Leveraged Loan 3</t>
  </si>
  <si>
    <t>Grants</t>
  </si>
  <si>
    <t>Source</t>
  </si>
  <si>
    <t>Amount</t>
  </si>
  <si>
    <t>any payment assistance calculations.</t>
  </si>
  <si>
    <r>
      <t xml:space="preserve">Note: Grant amounts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included in</t>
    </r>
  </si>
  <si>
    <t>Subsequent Loan 1</t>
  </si>
  <si>
    <t>Subsequent Loan 2</t>
  </si>
  <si>
    <t>Annual</t>
  </si>
  <si>
    <t>Repayment Income</t>
  </si>
  <si>
    <t>Annual Repayment Income</t>
  </si>
  <si>
    <t>Monthly Repayment Income</t>
  </si>
  <si>
    <t>Monthly 1% Payment</t>
  </si>
  <si>
    <t xml:space="preserve">Total Debt   </t>
  </si>
  <si>
    <t>Annual Income Inputted on PA Calc</t>
  </si>
  <si>
    <t>Total Debt Maximum $ Allowed</t>
  </si>
  <si>
    <t>Total PITI</t>
  </si>
  <si>
    <t>LIMIT ENFORCED</t>
  </si>
  <si>
    <t>Low or Very Low Determiner</t>
  </si>
  <si>
    <t>Enter repayment income by source (Note that the annual income is not automatically included from the Payment Assistance Calc sheet)</t>
  </si>
  <si>
    <t>Area Loan Limit</t>
  </si>
  <si>
    <t>Property County</t>
  </si>
  <si>
    <t>Maximum Loan</t>
  </si>
  <si>
    <t>Enter the Geographical County and the Area loan limit.</t>
  </si>
  <si>
    <t>Limitcurrent PITI - taxes, ins, prt Loan</t>
  </si>
  <si>
    <t>Limit with Current TDR - taxes, ins, other debt</t>
  </si>
  <si>
    <t>Sum of Eligible Leveraged Loan Payments</t>
  </si>
  <si>
    <t>TOTAL</t>
  </si>
  <si>
    <t>24% AAI - elg lev - taxes, ins with Payment Asst</t>
  </si>
  <si>
    <t>Eligible Leverage loan calculations</t>
  </si>
  <si>
    <t>interest rate</t>
  </si>
  <si>
    <t>nbr payments</t>
  </si>
  <si>
    <t>payment / month</t>
  </si>
  <si>
    <t>Adjusted for Div/0 error</t>
  </si>
  <si>
    <t>Exceed floor payment amount</t>
  </si>
  <si>
    <t>Exceed floor payment indicator</t>
  </si>
  <si>
    <t>Max at note rate</t>
  </si>
  <si>
    <t>Note rate Max at 24% of income</t>
  </si>
  <si>
    <t>Inputted RH Loan Amount on PA:</t>
  </si>
  <si>
    <t>MAXIMUM RH  LOAN AMOUNT:</t>
  </si>
  <si>
    <t>FOR CONSTRUCTION LOANS ONLY</t>
  </si>
  <si>
    <t>Term</t>
  </si>
  <si>
    <t>Borrower Payment</t>
  </si>
  <si>
    <t>Loan Amount</t>
  </si>
  <si>
    <t>Reduced Interest Rate</t>
  </si>
  <si>
    <t>All data needed is pulled from the Payment Assistance Calc spreadsheet.</t>
  </si>
  <si>
    <t>Reduced Interest Rate for Construction Loans - Calculates the interest rate to be used when closing the Construction Loan in MortgageServ.</t>
  </si>
  <si>
    <t>(Version - 4/2/08)</t>
  </si>
  <si>
    <t>(Version 4/2/08)</t>
  </si>
  <si>
    <t>Applicant 1</t>
  </si>
  <si>
    <t>Applicant 2</t>
  </si>
  <si>
    <t>equal the note rate.</t>
  </si>
  <si>
    <t>If the borrower does not qualify for subsidy on the Payment Assistance Calc spreadsheet, the reduced interest rate calculated here will</t>
  </si>
  <si>
    <t>Please print and attache to the Certificate of Eligibility (COE).  One copy of the complete COE</t>
  </si>
  <si>
    <t>documents sent to CSC.</t>
  </si>
  <si>
    <t>should be maintained in the loan docket and a copy should be included in the Loan Closing</t>
  </si>
  <si>
    <t>Please print and include with the closing documents.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</si>
</sst>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[$-409]dddd\,\ mmmm\ dd\,\ yyyy"/>
    <numFmt numFmtId="167" formatCode="mm/dd/yy;@"/>
    <numFmt numFmtId="168" formatCode="_(&quot;$&quot;\ #,##0_);_(&quot;$&quot;\ \(#,##0\);_(&quot;$&quot;\ &quot;-&quot;??_);_(@_)"/>
    <numFmt numFmtId="169" formatCode="&quot;$&quot;#,##0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0_);[Red]\(&quot;$&quot;#,##0.000\)"/>
    <numFmt numFmtId="174" formatCode="&quot;$&quot;#,##0.0000_);[Red]\(&quot;$&quot;#,##0.0000\)"/>
    <numFmt numFmtId="175" formatCode="&quot;$&quot;#,##0.0_);[Red]\(&quot;$&quot;#,##0.0\)"/>
    <numFmt numFmtId="176" formatCode="_(* #,##0.0_);_(* \(#,##0.0\);_(* &quot;-&quot;??_);_(@_)"/>
    <numFmt numFmtId="177" formatCode="_(* #,##0_);_(* \(#,##0\);_(* &quot;-&quot;??_);_(@_)"/>
    <numFmt numFmtId="178" formatCode="mmmm\ d\,\ yyyy"/>
    <numFmt numFmtId="179" formatCode="d\-mmm\-yyyy"/>
    <numFmt numFmtId="180" formatCode="mmm\-yyyy"/>
    <numFmt numFmtId="181" formatCode="0.0000"/>
    <numFmt numFmtId="182" formatCode="0.000"/>
    <numFmt numFmtId="183" formatCode="0.0"/>
    <numFmt numFmtId="184" formatCode="_(&quot;$&quot;* #,##0.000_);_(&quot;$&quot;* \(#,##0.000\);_(&quot;$&quot;* &quot;-&quot;??_);_(@_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2"/>
      <color indexed="62"/>
      <name val="Times New Roman"/>
      <family val="1"/>
    </font>
    <font>
      <u val="single"/>
      <sz val="10"/>
      <name val="Arial"/>
      <family val="0"/>
    </font>
    <font>
      <sz val="10"/>
      <color indexed="12"/>
      <name val="Arial"/>
      <family val="0"/>
    </font>
    <font>
      <sz val="7.5"/>
      <color indexed="9"/>
      <name val="Times New Roman"/>
      <family val="1"/>
    </font>
    <font>
      <b/>
      <u val="single"/>
      <sz val="10"/>
      <color indexed="9"/>
      <name val="Arial"/>
      <family val="0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u val="single"/>
      <sz val="10"/>
      <color indexed="9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/>
      <protection/>
    </xf>
    <xf numFmtId="165" fontId="0" fillId="34" borderId="0" xfId="0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65" fontId="0" fillId="33" borderId="0" xfId="0" applyNumberFormat="1" applyFill="1" applyBorder="1" applyAlignment="1" applyProtection="1">
      <alignment/>
      <protection locked="0"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 horizontal="left" wrapText="1"/>
      <protection/>
    </xf>
    <xf numFmtId="0" fontId="0" fillId="34" borderId="11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center" wrapText="1"/>
      <protection/>
    </xf>
    <xf numFmtId="0" fontId="1" fillId="34" borderId="11" xfId="0" applyFont="1" applyFill="1" applyBorder="1" applyAlignment="1" applyProtection="1">
      <alignment horizontal="center"/>
      <protection/>
    </xf>
    <xf numFmtId="165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165" fontId="0" fillId="34" borderId="10" xfId="0" applyNumberForma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165" fontId="1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165" fontId="0" fillId="34" borderId="0" xfId="0" applyNumberFormat="1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/>
    </xf>
    <xf numFmtId="167" fontId="0" fillId="33" borderId="0" xfId="0" applyNumberFormat="1" applyFill="1" applyBorder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164" fontId="0" fillId="34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4" fontId="0" fillId="34" borderId="0" xfId="0" applyNumberForma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165" fontId="0" fillId="0" borderId="10" xfId="0" applyNumberForma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 vertical="top" wrapText="1" shrinkToFit="1"/>
    </xf>
    <xf numFmtId="0" fontId="0" fillId="35" borderId="0" xfId="0" applyFill="1" applyAlignment="1" applyProtection="1">
      <alignment/>
      <protection/>
    </xf>
    <xf numFmtId="164" fontId="0" fillId="35" borderId="0" xfId="0" applyNumberFormat="1" applyFill="1" applyAlignment="1" applyProtection="1">
      <alignment/>
      <protection/>
    </xf>
    <xf numFmtId="1" fontId="0" fillId="35" borderId="0" xfId="0" applyNumberFormat="1" applyFill="1" applyAlignment="1" applyProtection="1">
      <alignment horizontal="center"/>
      <protection/>
    </xf>
    <xf numFmtId="165" fontId="0" fillId="35" borderId="0" xfId="0" applyNumberFormat="1" applyFill="1" applyAlignment="1" applyProtection="1">
      <alignment/>
      <protection/>
    </xf>
    <xf numFmtId="10" fontId="13" fillId="34" borderId="0" xfId="0" applyNumberFormat="1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165" fontId="3" fillId="34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165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16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8" fontId="0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165" fontId="15" fillId="34" borderId="0" xfId="0" applyNumberFormat="1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10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10" fillId="34" borderId="12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 locked="0"/>
    </xf>
    <xf numFmtId="165" fontId="0" fillId="33" borderId="13" xfId="0" applyNumberForma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horizontal="right" indent="1"/>
      <protection/>
    </xf>
    <xf numFmtId="0" fontId="1" fillId="34" borderId="0" xfId="0" applyFont="1" applyFill="1" applyBorder="1" applyAlignment="1" applyProtection="1">
      <alignment horizontal="right" indent="1"/>
      <protection/>
    </xf>
    <xf numFmtId="0" fontId="0" fillId="34" borderId="12" xfId="0" applyFont="1" applyFill="1" applyBorder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69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34" borderId="12" xfId="0" applyFont="1" applyFill="1" applyBorder="1" applyAlignment="1" applyProtection="1">
      <alignment horizontal="right"/>
      <protection/>
    </xf>
    <xf numFmtId="0" fontId="10" fillId="34" borderId="12" xfId="0" applyFont="1" applyFill="1" applyBorder="1" applyAlignment="1" applyProtection="1">
      <alignment/>
      <protection/>
    </xf>
    <xf numFmtId="1" fontId="10" fillId="34" borderId="12" xfId="0" applyNumberFormat="1" applyFont="1" applyFill="1" applyBorder="1" applyAlignment="1" applyProtection="1">
      <alignment/>
      <protection/>
    </xf>
    <xf numFmtId="8" fontId="10" fillId="34" borderId="12" xfId="0" applyNumberFormat="1" applyFont="1" applyFill="1" applyBorder="1" applyAlignment="1" applyProtection="1">
      <alignment horizontal="left"/>
      <protection/>
    </xf>
    <xf numFmtId="2" fontId="19" fillId="34" borderId="0" xfId="0" applyNumberFormat="1" applyFont="1" applyFill="1" applyAlignment="1">
      <alignment/>
    </xf>
    <xf numFmtId="2" fontId="10" fillId="34" borderId="12" xfId="0" applyNumberFormat="1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/>
    </xf>
    <xf numFmtId="0" fontId="10" fillId="34" borderId="0" xfId="0" applyFont="1" applyFill="1" applyBorder="1" applyAlignment="1" applyProtection="1">
      <alignment horizontal="left"/>
      <protection/>
    </xf>
    <xf numFmtId="0" fontId="20" fillId="34" borderId="12" xfId="0" applyFont="1" applyFill="1" applyBorder="1" applyAlignment="1" applyProtection="1">
      <alignment/>
      <protection/>
    </xf>
    <xf numFmtId="0" fontId="15" fillId="34" borderId="12" xfId="0" applyFont="1" applyFill="1" applyBorder="1" applyAlignment="1" applyProtection="1">
      <alignment horizontal="right"/>
      <protection/>
    </xf>
    <xf numFmtId="165" fontId="0" fillId="33" borderId="13" xfId="0" applyNumberFormat="1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center" vertical="top" wrapText="1"/>
      <protection/>
    </xf>
    <xf numFmtId="44" fontId="10" fillId="34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4" borderId="12" xfId="0" applyFont="1" applyFill="1" applyBorder="1" applyAlignment="1" applyProtection="1">
      <alignment horizontal="left" indent="1"/>
      <protection/>
    </xf>
    <xf numFmtId="8" fontId="22" fillId="34" borderId="12" xfId="0" applyNumberFormat="1" applyFont="1" applyFill="1" applyBorder="1" applyAlignment="1" applyProtection="1">
      <alignment horizontal="right"/>
      <protection/>
    </xf>
    <xf numFmtId="165" fontId="15" fillId="34" borderId="12" xfId="0" applyNumberFormat="1" applyFont="1" applyFill="1" applyBorder="1" applyAlignment="1" applyProtection="1">
      <alignment/>
      <protection/>
    </xf>
    <xf numFmtId="165" fontId="15" fillId="34" borderId="12" xfId="0" applyNumberFormat="1" applyFont="1" applyFill="1" applyBorder="1" applyAlignment="1" applyProtection="1">
      <alignment horizontal="left" indent="1"/>
      <protection/>
    </xf>
    <xf numFmtId="0" fontId="22" fillId="34" borderId="12" xfId="0" applyFont="1" applyFill="1" applyBorder="1" applyAlignment="1" applyProtection="1">
      <alignment horizontal="right"/>
      <protection/>
    </xf>
    <xf numFmtId="44" fontId="10" fillId="34" borderId="12" xfId="0" applyNumberFormat="1" applyFont="1" applyFill="1" applyBorder="1" applyAlignment="1" applyProtection="1">
      <alignment/>
      <protection/>
    </xf>
    <xf numFmtId="0" fontId="23" fillId="34" borderId="12" xfId="0" applyFont="1" applyFill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right"/>
      <protection/>
    </xf>
    <xf numFmtId="165" fontId="10" fillId="34" borderId="12" xfId="0" applyNumberFormat="1" applyFont="1" applyFill="1" applyBorder="1" applyAlignment="1" applyProtection="1">
      <alignment horizontal="left"/>
      <protection/>
    </xf>
    <xf numFmtId="165" fontId="15" fillId="34" borderId="12" xfId="0" applyNumberFormat="1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right"/>
      <protection/>
    </xf>
    <xf numFmtId="169" fontId="25" fillId="34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27" fillId="34" borderId="0" xfId="0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0" fontId="28" fillId="34" borderId="0" xfId="0" applyFont="1" applyFill="1" applyBorder="1" applyAlignment="1" applyProtection="1">
      <alignment/>
      <protection/>
    </xf>
    <xf numFmtId="165" fontId="28" fillId="34" borderId="0" xfId="0" applyNumberFormat="1" applyFont="1" applyFill="1" applyBorder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28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wrapText="1"/>
    </xf>
    <xf numFmtId="0" fontId="2" fillId="34" borderId="0" xfId="0" applyFont="1" applyFill="1" applyAlignment="1" applyProtection="1">
      <alignment horizontal="left" wrapText="1"/>
      <protection/>
    </xf>
    <xf numFmtId="0" fontId="2" fillId="34" borderId="0" xfId="0" applyFont="1" applyFill="1" applyAlignment="1" applyProtection="1">
      <alignment horizontal="left" vertical="top" wrapText="1" shrinkToFit="1"/>
      <protection/>
    </xf>
    <xf numFmtId="0" fontId="0" fillId="0" borderId="0" xfId="0" applyAlignment="1">
      <alignment vertical="top" wrapText="1" shrinkToFi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 wrapText="1" shrinkToFit="1"/>
      <protection/>
    </xf>
    <xf numFmtId="0" fontId="15" fillId="34" borderId="14" xfId="0" applyFont="1" applyFill="1" applyBorder="1" applyAlignment="1" applyProtection="1">
      <alignment/>
      <protection/>
    </xf>
    <xf numFmtId="0" fontId="10" fillId="34" borderId="15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75:A77" totalsRowShown="0">
  <autoFilter ref="A75:A77"/>
  <tableColumns count="1">
    <tableColumn id="1" name="Income Category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3.7109375" style="0" customWidth="1"/>
    <col min="2" max="2" width="71.57421875" style="0" bestFit="1" customWidth="1"/>
  </cols>
  <sheetData>
    <row r="1" spans="1:2" ht="18">
      <c r="A1" s="10" t="s">
        <v>65</v>
      </c>
      <c r="B1" s="11"/>
    </row>
    <row r="2" spans="1:2" ht="18">
      <c r="A2" s="10"/>
      <c r="B2" s="11"/>
    </row>
    <row r="3" spans="1:2" ht="18">
      <c r="A3" s="10"/>
      <c r="B3" s="11" t="s">
        <v>91</v>
      </c>
    </row>
    <row r="4" spans="1:2" ht="18">
      <c r="A4" s="10"/>
      <c r="B4" s="11" t="s">
        <v>92</v>
      </c>
    </row>
    <row r="6" spans="1:2" ht="12.75">
      <c r="A6" s="12" t="s">
        <v>89</v>
      </c>
      <c r="B6" s="11" t="s">
        <v>90</v>
      </c>
    </row>
    <row r="8" spans="1:2" ht="12.75">
      <c r="A8" s="12" t="s">
        <v>0</v>
      </c>
      <c r="B8" s="11" t="s">
        <v>49</v>
      </c>
    </row>
    <row r="9" spans="1:2" ht="12.75">
      <c r="A9" s="12"/>
      <c r="B9" s="11" t="s">
        <v>50</v>
      </c>
    </row>
    <row r="11" spans="1:2" ht="12.75">
      <c r="A11" s="12" t="s">
        <v>1</v>
      </c>
      <c r="B11" s="11" t="s">
        <v>51</v>
      </c>
    </row>
    <row r="12" spans="1:2" ht="12.75">
      <c r="A12" s="12" t="s">
        <v>9</v>
      </c>
      <c r="B12" s="11" t="s">
        <v>70</v>
      </c>
    </row>
    <row r="13" spans="1:2" ht="12.75">
      <c r="A13" s="12" t="s">
        <v>2</v>
      </c>
      <c r="B13" s="11" t="s">
        <v>52</v>
      </c>
    </row>
    <row r="15" spans="1:2" ht="12.75">
      <c r="A15" s="12" t="s">
        <v>5</v>
      </c>
      <c r="B15" s="11" t="s">
        <v>68</v>
      </c>
    </row>
    <row r="16" spans="1:2" ht="12.75">
      <c r="A16" s="12"/>
      <c r="B16" s="11" t="s">
        <v>67</v>
      </c>
    </row>
    <row r="18" spans="1:2" ht="12.75">
      <c r="A18" s="12"/>
      <c r="B18" s="11" t="s">
        <v>53</v>
      </c>
    </row>
    <row r="19" spans="1:2" ht="12.75">
      <c r="A19" s="12"/>
      <c r="B19" s="11" t="s">
        <v>66</v>
      </c>
    </row>
    <row r="20" spans="1:2" ht="12.75">
      <c r="A20" s="12"/>
      <c r="B20" s="11" t="s">
        <v>54</v>
      </c>
    </row>
    <row r="22" spans="1:2" ht="12.75">
      <c r="A22" s="12" t="s">
        <v>87</v>
      </c>
      <c r="B22" s="11" t="s">
        <v>55</v>
      </c>
    </row>
    <row r="24" spans="1:2" ht="12.75">
      <c r="A24" s="12" t="s">
        <v>56</v>
      </c>
      <c r="B24" s="11" t="s">
        <v>69</v>
      </c>
    </row>
    <row r="26" spans="1:2" ht="12.75">
      <c r="A26" s="12" t="s">
        <v>57</v>
      </c>
      <c r="B26" s="11" t="s">
        <v>58</v>
      </c>
    </row>
    <row r="28" spans="1:2" ht="12.75">
      <c r="A28" s="12" t="s">
        <v>7</v>
      </c>
      <c r="B28" s="11" t="s">
        <v>71</v>
      </c>
    </row>
    <row r="30" spans="1:2" ht="12.75">
      <c r="A30" s="12" t="s">
        <v>8</v>
      </c>
      <c r="B30" s="11" t="s">
        <v>72</v>
      </c>
    </row>
    <row r="32" spans="1:2" ht="12.75">
      <c r="A32" s="12" t="s">
        <v>6</v>
      </c>
      <c r="B32" s="11" t="s">
        <v>59</v>
      </c>
    </row>
    <row r="34" spans="1:2" ht="12.75">
      <c r="A34" s="12" t="s">
        <v>60</v>
      </c>
      <c r="B34" s="11" t="s">
        <v>61</v>
      </c>
    </row>
    <row r="35" spans="1:2" ht="12.75">
      <c r="A35" s="12"/>
      <c r="B35" s="11" t="s">
        <v>62</v>
      </c>
    </row>
    <row r="36" spans="1:2" ht="12.75">
      <c r="A36" s="12"/>
      <c r="B36" s="11" t="s">
        <v>63</v>
      </c>
    </row>
    <row r="38" spans="1:2" ht="12.75">
      <c r="A38" s="12" t="s">
        <v>15</v>
      </c>
      <c r="B38" s="11" t="s">
        <v>64</v>
      </c>
    </row>
  </sheetData>
  <sheetProtection password="E90C" sheet="1" objects="1" scenarios="1"/>
  <printOptions/>
  <pageMargins left="0.75" right="0.75" top="1" bottom="1" header="0.5" footer="0.5"/>
  <pageSetup horizontalDpi="600" verticalDpi="600" orientation="landscape" scale="9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7109375" style="19" customWidth="1"/>
    <col min="2" max="2" width="71.57421875" style="19" bestFit="1" customWidth="1"/>
  </cols>
  <sheetData>
    <row r="1" spans="1:9" ht="18">
      <c r="A1" s="10" t="s">
        <v>65</v>
      </c>
      <c r="B1" s="11"/>
      <c r="C1" s="22"/>
      <c r="D1" s="22"/>
      <c r="E1" s="22"/>
      <c r="F1" s="22"/>
      <c r="G1" s="22"/>
      <c r="H1" s="22"/>
      <c r="I1" s="22"/>
    </row>
    <row r="2" spans="1:9" ht="12.75">
      <c r="A2" s="11"/>
      <c r="B2" s="11"/>
      <c r="C2" s="22"/>
      <c r="D2" s="22"/>
      <c r="E2" s="22"/>
      <c r="F2" s="22"/>
      <c r="G2" s="22"/>
      <c r="H2" s="22"/>
      <c r="I2" s="22"/>
    </row>
    <row r="3" spans="1:9" ht="12.75">
      <c r="A3" s="12" t="s">
        <v>77</v>
      </c>
      <c r="B3" s="11" t="s">
        <v>78</v>
      </c>
      <c r="C3" s="22"/>
      <c r="D3" s="22"/>
      <c r="E3" s="22"/>
      <c r="F3" s="22"/>
      <c r="G3" s="22"/>
      <c r="H3" s="22"/>
      <c r="I3" s="22"/>
    </row>
    <row r="4" spans="1:9" ht="12.75">
      <c r="A4" s="11"/>
      <c r="B4" s="11"/>
      <c r="C4" s="22"/>
      <c r="D4" s="22"/>
      <c r="E4" s="22"/>
      <c r="F4" s="22"/>
      <c r="G4" s="22"/>
      <c r="H4" s="22"/>
      <c r="I4" s="22"/>
    </row>
    <row r="5" spans="1:9" ht="12.75">
      <c r="A5" s="12" t="s">
        <v>79</v>
      </c>
      <c r="B5" s="11"/>
      <c r="C5" s="22"/>
      <c r="D5" s="22"/>
      <c r="E5" s="22"/>
      <c r="F5" s="22"/>
      <c r="G5" s="22"/>
      <c r="H5" s="22"/>
      <c r="I5" s="22"/>
    </row>
    <row r="6" spans="1:9" ht="12.75">
      <c r="A6" s="12"/>
      <c r="B6" s="11"/>
      <c r="C6" s="22"/>
      <c r="D6" s="22"/>
      <c r="E6" s="22"/>
      <c r="F6" s="22"/>
      <c r="G6" s="22"/>
      <c r="H6" s="22"/>
      <c r="I6" s="22"/>
    </row>
    <row r="7" spans="1:9" ht="12.75">
      <c r="A7" s="12" t="s">
        <v>118</v>
      </c>
      <c r="B7" s="11" t="s">
        <v>121</v>
      </c>
      <c r="C7" s="22"/>
      <c r="D7" s="22"/>
      <c r="E7" s="22"/>
      <c r="F7" s="22"/>
      <c r="G7" s="22"/>
      <c r="H7" s="22"/>
      <c r="I7" s="22"/>
    </row>
    <row r="8" spans="1:9" ht="12.75">
      <c r="A8" s="12"/>
      <c r="B8" s="11"/>
      <c r="C8" s="22"/>
      <c r="D8" s="22"/>
      <c r="E8" s="22"/>
      <c r="F8" s="22"/>
      <c r="G8" s="22"/>
      <c r="H8" s="22"/>
      <c r="I8" s="22"/>
    </row>
    <row r="9" spans="1:9" ht="12.75">
      <c r="A9" s="12"/>
      <c r="B9" s="11"/>
      <c r="C9" s="22"/>
      <c r="D9" s="22"/>
      <c r="E9" s="22"/>
      <c r="F9" s="22"/>
      <c r="G9" s="22"/>
      <c r="H9" s="22"/>
      <c r="I9" s="22"/>
    </row>
    <row r="10" spans="1:9" ht="25.5">
      <c r="A10" s="107" t="s">
        <v>107</v>
      </c>
      <c r="B10" s="41" t="s">
        <v>117</v>
      </c>
      <c r="C10" s="22"/>
      <c r="D10" s="22"/>
      <c r="E10" s="22"/>
      <c r="F10" s="22"/>
      <c r="G10" s="22"/>
      <c r="H10" s="22"/>
      <c r="I10" s="22"/>
    </row>
    <row r="11" spans="1:9" ht="12.75">
      <c r="A11" s="11"/>
      <c r="B11" s="11"/>
      <c r="C11" s="22"/>
      <c r="D11" s="22"/>
      <c r="E11" s="22"/>
      <c r="F11" s="22"/>
      <c r="G11" s="22"/>
      <c r="H11" s="22"/>
      <c r="I11" s="22"/>
    </row>
    <row r="12" spans="1:9" ht="15.75">
      <c r="A12" s="12" t="s">
        <v>26</v>
      </c>
      <c r="B12" s="39" t="s">
        <v>86</v>
      </c>
      <c r="C12" s="22"/>
      <c r="D12" s="22"/>
      <c r="E12" s="22"/>
      <c r="F12" s="22"/>
      <c r="G12" s="22"/>
      <c r="H12" s="22"/>
      <c r="I12" s="22"/>
    </row>
    <row r="13" spans="1:9" ht="15.75">
      <c r="A13" s="11"/>
      <c r="B13" s="39" t="s">
        <v>81</v>
      </c>
      <c r="C13" s="22"/>
      <c r="D13" s="22"/>
      <c r="E13" s="22"/>
      <c r="F13" s="22"/>
      <c r="G13" s="22"/>
      <c r="H13" s="22"/>
      <c r="I13" s="22"/>
    </row>
    <row r="14" spans="1:9" ht="31.5">
      <c r="A14" s="12"/>
      <c r="B14" s="40" t="s">
        <v>82</v>
      </c>
      <c r="C14" s="22"/>
      <c r="D14" s="22"/>
      <c r="E14" s="22"/>
      <c r="F14" s="22"/>
      <c r="G14" s="22"/>
      <c r="H14" s="22"/>
      <c r="I14" s="22"/>
    </row>
    <row r="15" spans="1:9" ht="31.5">
      <c r="A15" s="12"/>
      <c r="B15" s="40" t="s">
        <v>83</v>
      </c>
      <c r="C15" s="22"/>
      <c r="D15" s="22"/>
      <c r="E15" s="22"/>
      <c r="F15" s="22"/>
      <c r="G15" s="22"/>
      <c r="H15" s="22"/>
      <c r="I15" s="22"/>
    </row>
    <row r="16" spans="1:9" ht="15.75">
      <c r="A16" s="11"/>
      <c r="B16" s="40" t="s">
        <v>84</v>
      </c>
      <c r="C16" s="22"/>
      <c r="D16" s="22"/>
      <c r="E16" s="22"/>
      <c r="F16" s="22"/>
      <c r="G16" s="22"/>
      <c r="H16" s="22"/>
      <c r="I16" s="22"/>
    </row>
    <row r="17" spans="1:9" ht="31.5">
      <c r="A17" s="12"/>
      <c r="B17" s="40" t="s">
        <v>85</v>
      </c>
      <c r="C17" s="22"/>
      <c r="D17" s="22"/>
      <c r="E17" s="22"/>
      <c r="F17" s="22"/>
      <c r="G17" s="22"/>
      <c r="H17" s="22"/>
      <c r="I17" s="22"/>
    </row>
    <row r="18" spans="1:9" ht="12.75">
      <c r="A18" s="12"/>
      <c r="B18" s="41"/>
      <c r="C18" s="22"/>
      <c r="D18" s="22"/>
      <c r="E18" s="22"/>
      <c r="F18" s="22"/>
      <c r="G18" s="22"/>
      <c r="H18" s="22"/>
      <c r="I18" s="22"/>
    </row>
    <row r="19" spans="1:9" ht="12.75">
      <c r="A19" s="12"/>
      <c r="B19" s="41"/>
      <c r="C19" s="22"/>
      <c r="D19" s="22"/>
      <c r="E19" s="22"/>
      <c r="F19" s="22"/>
      <c r="G19" s="22"/>
      <c r="H19" s="22"/>
      <c r="I19" s="22"/>
    </row>
    <row r="20" spans="1:9" ht="15.75">
      <c r="A20" s="11"/>
      <c r="B20" s="40" t="s">
        <v>80</v>
      </c>
      <c r="C20" s="22"/>
      <c r="D20" s="22"/>
      <c r="E20" s="22"/>
      <c r="F20" s="22"/>
      <c r="G20" s="22"/>
      <c r="H20" s="22"/>
      <c r="I20" s="22"/>
    </row>
    <row r="21" spans="1:9" ht="12.75">
      <c r="A21" s="12"/>
      <c r="B21" s="11"/>
      <c r="C21" s="22"/>
      <c r="D21" s="22"/>
      <c r="E21" s="22"/>
      <c r="F21" s="22"/>
      <c r="G21" s="22"/>
      <c r="H21" s="22"/>
      <c r="I21" s="22"/>
    </row>
    <row r="22" spans="1:9" ht="12.75">
      <c r="A22" s="12"/>
      <c r="B22" s="11"/>
      <c r="C22" s="22"/>
      <c r="D22" s="22"/>
      <c r="E22" s="22"/>
      <c r="F22" s="22"/>
      <c r="G22" s="22"/>
      <c r="H22" s="22"/>
      <c r="I22" s="22"/>
    </row>
    <row r="23" spans="1:9" ht="12.75">
      <c r="A23" s="11"/>
      <c r="B23" s="11"/>
      <c r="C23" s="22"/>
      <c r="D23" s="22"/>
      <c r="E23" s="22"/>
      <c r="F23" s="22"/>
      <c r="G23" s="22"/>
      <c r="H23" s="22"/>
      <c r="I23" s="22"/>
    </row>
    <row r="24" spans="1:9" ht="12.75">
      <c r="A24" s="12"/>
      <c r="B24" s="11"/>
      <c r="C24" s="22"/>
      <c r="D24" s="22"/>
      <c r="E24" s="22"/>
      <c r="F24" s="22"/>
      <c r="G24" s="22"/>
      <c r="H24" s="22"/>
      <c r="I24" s="22"/>
    </row>
    <row r="25" spans="1:9" ht="12.75">
      <c r="A25" s="12"/>
      <c r="B25" s="11"/>
      <c r="C25" s="22"/>
      <c r="D25" s="22"/>
      <c r="E25" s="22"/>
      <c r="F25" s="22"/>
      <c r="G25" s="22"/>
      <c r="H25" s="22"/>
      <c r="I25" s="22"/>
    </row>
    <row r="26" spans="1:9" ht="12.75">
      <c r="A26" s="12"/>
      <c r="B26" s="11"/>
      <c r="C26" s="22"/>
      <c r="D26" s="22"/>
      <c r="E26" s="22"/>
      <c r="F26" s="22"/>
      <c r="G26" s="22"/>
      <c r="H26" s="22"/>
      <c r="I26" s="22"/>
    </row>
    <row r="27" spans="1:9" ht="12.75">
      <c r="A27" s="11"/>
      <c r="B27" s="11"/>
      <c r="C27" s="22"/>
      <c r="D27" s="22"/>
      <c r="E27" s="22"/>
      <c r="F27" s="22"/>
      <c r="G27" s="22"/>
      <c r="H27" s="22"/>
      <c r="I27" s="22"/>
    </row>
    <row r="28" spans="1:9" ht="12.75">
      <c r="A28" s="12"/>
      <c r="B28" s="11"/>
      <c r="C28" s="22"/>
      <c r="D28" s="22"/>
      <c r="E28" s="22"/>
      <c r="F28" s="22"/>
      <c r="G28" s="22"/>
      <c r="H28" s="22"/>
      <c r="I28" s="22"/>
    </row>
    <row r="29" spans="1:9" ht="12.75">
      <c r="A29" s="11"/>
      <c r="B29" s="11"/>
      <c r="C29" s="22"/>
      <c r="D29" s="22"/>
      <c r="E29" s="22"/>
      <c r="F29" s="22"/>
      <c r="G29" s="22"/>
      <c r="H29" s="22"/>
      <c r="I29" s="22"/>
    </row>
    <row r="30" spans="1:9" ht="12.75">
      <c r="A30" s="12"/>
      <c r="B30" s="11"/>
      <c r="C30" s="22"/>
      <c r="D30" s="22"/>
      <c r="E30" s="22"/>
      <c r="F30" s="22"/>
      <c r="G30" s="22"/>
      <c r="H30" s="22"/>
      <c r="I30" s="22"/>
    </row>
    <row r="31" spans="1:9" ht="12.75">
      <c r="A31" s="11"/>
      <c r="B31" s="11"/>
      <c r="C31" s="22"/>
      <c r="D31" s="22"/>
      <c r="E31" s="22"/>
      <c r="F31" s="22"/>
      <c r="G31" s="22"/>
      <c r="H31" s="22"/>
      <c r="I31" s="22"/>
    </row>
    <row r="32" spans="1:9" ht="12.75">
      <c r="A32" s="12"/>
      <c r="B32" s="11"/>
      <c r="C32" s="22"/>
      <c r="D32" s="22"/>
      <c r="E32" s="22"/>
      <c r="F32" s="22"/>
      <c r="G32" s="22"/>
      <c r="H32" s="22"/>
      <c r="I32" s="22"/>
    </row>
    <row r="33" spans="1:9" ht="12.75">
      <c r="A33" s="11"/>
      <c r="B33" s="11"/>
      <c r="C33" s="22"/>
      <c r="D33" s="22"/>
      <c r="E33" s="22"/>
      <c r="F33" s="22"/>
      <c r="G33" s="22"/>
      <c r="H33" s="22"/>
      <c r="I33" s="22"/>
    </row>
    <row r="34" spans="1:9" ht="12.75">
      <c r="A34" s="12"/>
      <c r="B34" s="11"/>
      <c r="C34" s="22"/>
      <c r="D34" s="22"/>
      <c r="E34" s="22"/>
      <c r="F34" s="22"/>
      <c r="G34" s="22"/>
      <c r="H34" s="22"/>
      <c r="I34" s="22"/>
    </row>
    <row r="35" spans="1:9" ht="12.75">
      <c r="A35" s="11"/>
      <c r="B35" s="11"/>
      <c r="C35" s="22"/>
      <c r="D35" s="22"/>
      <c r="E35" s="22"/>
      <c r="F35" s="22"/>
      <c r="G35" s="22"/>
      <c r="H35" s="22"/>
      <c r="I35" s="22"/>
    </row>
    <row r="36" spans="1:9" ht="12.75">
      <c r="A36" s="12"/>
      <c r="B36" s="11"/>
      <c r="C36" s="22"/>
      <c r="D36" s="22"/>
      <c r="E36" s="22"/>
      <c r="F36" s="22"/>
      <c r="G36" s="22"/>
      <c r="H36" s="22"/>
      <c r="I36" s="22"/>
    </row>
    <row r="37" spans="1:9" ht="12.75">
      <c r="A37" s="11"/>
      <c r="B37" s="11"/>
      <c r="C37" s="22"/>
      <c r="D37" s="22"/>
      <c r="E37" s="22"/>
      <c r="F37" s="22"/>
      <c r="G37" s="22"/>
      <c r="H37" s="22"/>
      <c r="I37" s="22"/>
    </row>
    <row r="38" spans="1:9" ht="12.75">
      <c r="A38" s="12"/>
      <c r="B38" s="11"/>
      <c r="C38" s="22"/>
      <c r="D38" s="22"/>
      <c r="E38" s="22"/>
      <c r="F38" s="22"/>
      <c r="G38" s="22"/>
      <c r="H38" s="22"/>
      <c r="I38" s="22"/>
    </row>
    <row r="39" spans="1:9" ht="12.75">
      <c r="A39" s="11"/>
      <c r="B39" s="11"/>
      <c r="C39" s="22"/>
      <c r="D39" s="22"/>
      <c r="E39" s="22"/>
      <c r="F39" s="22"/>
      <c r="G39" s="22"/>
      <c r="H39" s="22"/>
      <c r="I39" s="22"/>
    </row>
    <row r="40" spans="1:9" ht="12.75">
      <c r="A40" s="12"/>
      <c r="B40" s="11"/>
      <c r="C40" s="22"/>
      <c r="D40" s="22"/>
      <c r="E40" s="22"/>
      <c r="F40" s="22"/>
      <c r="G40" s="22"/>
      <c r="H40" s="22"/>
      <c r="I40" s="22"/>
    </row>
    <row r="41" ht="12.75">
      <c r="A41" s="20"/>
    </row>
    <row r="42" ht="12.75">
      <c r="A42" s="20"/>
    </row>
    <row r="44" ht="12.75">
      <c r="A44" s="20"/>
    </row>
  </sheetData>
  <sheetProtection password="E90C" sheet="1" objects="1" scenarios="1"/>
  <printOptions/>
  <pageMargins left="0.75" right="0.75" top="1" bottom="1" header="0.5" footer="0.5"/>
  <pageSetup horizontalDpi="600" verticalDpi="600" orientation="landscape" scale="95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22.00390625" style="0" customWidth="1"/>
    <col min="2" max="2" width="20.00390625" style="0" customWidth="1"/>
    <col min="3" max="3" width="13.57421875" style="0" bestFit="1" customWidth="1"/>
    <col min="4" max="4" width="16.28125" style="0" customWidth="1"/>
    <col min="5" max="5" width="14.57421875" style="0" customWidth="1"/>
    <col min="6" max="6" width="12.28125" style="0" customWidth="1"/>
    <col min="7" max="7" width="14.140625" style="0" customWidth="1"/>
    <col min="8" max="8" width="11.140625" style="0" bestFit="1" customWidth="1"/>
  </cols>
  <sheetData>
    <row r="1" spans="1:13" ht="18.75">
      <c r="A1" s="23" t="s">
        <v>43</v>
      </c>
      <c r="B1" s="21"/>
      <c r="C1" s="21"/>
      <c r="D1" s="21"/>
      <c r="E1" s="21"/>
      <c r="F1" s="21"/>
      <c r="G1" s="33" t="s">
        <v>145</v>
      </c>
      <c r="H1" s="21"/>
      <c r="I1" s="21"/>
      <c r="J1" s="21"/>
      <c r="K1" s="21"/>
      <c r="L1" s="21"/>
      <c r="M1" s="21"/>
    </row>
    <row r="2" spans="1:13" ht="18.75">
      <c r="A2" s="23"/>
      <c r="B2" s="21"/>
      <c r="C2" s="21"/>
      <c r="D2" s="21"/>
      <c r="E2" s="21"/>
      <c r="F2" s="21"/>
      <c r="G2" s="24" t="s">
        <v>24</v>
      </c>
      <c r="H2" s="25"/>
      <c r="I2" s="21"/>
      <c r="J2" s="21"/>
      <c r="K2" s="21"/>
      <c r="L2" s="21"/>
      <c r="M2" s="21"/>
    </row>
    <row r="3" spans="1:13" ht="12.75">
      <c r="A3" s="21" t="s">
        <v>40</v>
      </c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 t="s">
        <v>41</v>
      </c>
      <c r="B4" s="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8" s="11" customFormat="1" ht="12.75">
      <c r="A5" s="37"/>
      <c r="B5" s="37"/>
      <c r="C5" s="47" t="s">
        <v>93</v>
      </c>
      <c r="D5" s="47" t="s">
        <v>94</v>
      </c>
      <c r="E5" s="37"/>
      <c r="F5" s="37"/>
      <c r="G5" s="37"/>
      <c r="H5" s="37"/>
    </row>
    <row r="6" spans="2:8" s="11" customFormat="1" ht="12.75">
      <c r="B6" s="15" t="s">
        <v>95</v>
      </c>
      <c r="C6" s="48"/>
      <c r="D6" s="49"/>
      <c r="E6" s="37"/>
      <c r="F6" s="37"/>
      <c r="G6" s="37"/>
      <c r="H6" s="37"/>
    </row>
    <row r="7" spans="1:13" ht="12.7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</row>
    <row r="8" spans="1:13" ht="38.25">
      <c r="A8" s="21"/>
      <c r="B8" s="26" t="s">
        <v>0</v>
      </c>
      <c r="C8" s="27" t="s">
        <v>1</v>
      </c>
      <c r="D8" s="27" t="s">
        <v>9</v>
      </c>
      <c r="E8" s="28" t="s">
        <v>2</v>
      </c>
      <c r="F8" s="27" t="s">
        <v>3</v>
      </c>
      <c r="G8" s="27" t="s">
        <v>4</v>
      </c>
      <c r="H8" s="37"/>
      <c r="I8" s="11"/>
      <c r="J8" s="11"/>
      <c r="K8" s="11"/>
      <c r="L8" s="11"/>
      <c r="M8" s="11"/>
    </row>
    <row r="9" spans="1:13" ht="12.75">
      <c r="A9" s="43" t="s">
        <v>73</v>
      </c>
      <c r="B9" s="50"/>
      <c r="C9" s="2"/>
      <c r="D9" s="4"/>
      <c r="E9" s="3"/>
      <c r="F9" s="6">
        <f>IF(E9&gt;0,-PMT(C9/12,D9,E9),0)</f>
        <v>0</v>
      </c>
      <c r="G9" s="29">
        <f>F9*12</f>
        <v>0</v>
      </c>
      <c r="H9" s="21"/>
      <c r="I9" s="22"/>
      <c r="J9" s="22"/>
      <c r="K9" s="22"/>
      <c r="L9" s="22"/>
      <c r="M9" s="22"/>
    </row>
    <row r="10" spans="1:13" ht="12.75">
      <c r="A10" s="43" t="s">
        <v>104</v>
      </c>
      <c r="B10" s="50"/>
      <c r="C10" s="7">
        <v>0</v>
      </c>
      <c r="D10" s="8">
        <v>0</v>
      </c>
      <c r="E10" s="9">
        <v>0</v>
      </c>
      <c r="F10" s="6">
        <f>IF(E10&gt;0,-PMT(C10/12,D10,E10),0)</f>
        <v>0</v>
      </c>
      <c r="G10" s="6">
        <f>IF(E10&gt;0,F10*12,0)</f>
        <v>0</v>
      </c>
      <c r="H10" s="21"/>
      <c r="I10" s="22"/>
      <c r="J10" s="22"/>
      <c r="K10" s="22"/>
      <c r="L10" s="22"/>
      <c r="M10" s="22"/>
    </row>
    <row r="11" spans="1:13" ht="12.75">
      <c r="A11" s="43" t="s">
        <v>105</v>
      </c>
      <c r="B11" s="50"/>
      <c r="C11" s="7"/>
      <c r="D11" s="8"/>
      <c r="E11" s="9"/>
      <c r="F11" s="6">
        <f>IF(E11&gt;0,-PMT(C11/12,D11,E11),0)</f>
        <v>0</v>
      </c>
      <c r="G11" s="6">
        <f>IF(E11&gt;0,F11*12,0)</f>
        <v>0</v>
      </c>
      <c r="H11" s="21"/>
      <c r="I11" s="22"/>
      <c r="J11" s="22"/>
      <c r="K11" s="22"/>
      <c r="L11" s="22"/>
      <c r="M11" s="22"/>
    </row>
    <row r="12" spans="1:13" ht="12.75" customHeight="1">
      <c r="A12" s="21"/>
      <c r="B12" s="44"/>
      <c r="C12" s="21"/>
      <c r="D12" s="30"/>
      <c r="E12" s="21"/>
      <c r="F12" s="6"/>
      <c r="G12" s="21"/>
      <c r="H12" s="65"/>
      <c r="I12" s="65"/>
      <c r="J12" s="65"/>
      <c r="K12" s="65"/>
      <c r="L12" s="65"/>
      <c r="M12" s="65"/>
    </row>
    <row r="13" spans="1:13" ht="12.75" customHeight="1">
      <c r="A13" s="21"/>
      <c r="B13" s="43" t="s">
        <v>74</v>
      </c>
      <c r="C13" s="2">
        <v>0</v>
      </c>
      <c r="D13" s="4">
        <v>0</v>
      </c>
      <c r="E13" s="3">
        <v>0</v>
      </c>
      <c r="F13" s="6">
        <f>IF(E13&gt;0,-PMT(C13/12,D13,E13),0)</f>
        <v>0</v>
      </c>
      <c r="G13" s="6">
        <f>IF(AND(D13&gt;359,C13&lt;=0.03),F13*12,0)</f>
        <v>0</v>
      </c>
      <c r="H13" s="65"/>
      <c r="I13" s="166">
        <f>IF(AND(G13=0,E13&gt;0)," NOTE: Leveraged Loan 1 IS NOT eligible for payment assistance consideration.",IF(OR(E13&lt;1,ISBLANK(E13)),"","NOTE: Leveraged Loan 1 IS eligible for payment assistance consideration."))</f>
      </c>
      <c r="J13" s="165"/>
      <c r="K13" s="165"/>
      <c r="L13" s="165"/>
      <c r="M13" s="66"/>
    </row>
    <row r="14" spans="1:13" ht="12.75" customHeight="1">
      <c r="A14" s="21"/>
      <c r="B14" s="43"/>
      <c r="C14" s="69"/>
      <c r="D14" s="70"/>
      <c r="E14" s="71"/>
      <c r="F14" s="6"/>
      <c r="G14" s="6"/>
      <c r="H14" s="68"/>
      <c r="I14" s="165"/>
      <c r="J14" s="165"/>
      <c r="K14" s="165"/>
      <c r="L14" s="165"/>
      <c r="M14" s="66"/>
    </row>
    <row r="15" spans="1:13" ht="13.5" customHeight="1">
      <c r="A15" s="21"/>
      <c r="B15" s="43" t="s">
        <v>75</v>
      </c>
      <c r="C15" s="2">
        <v>0</v>
      </c>
      <c r="D15" s="4">
        <v>0</v>
      </c>
      <c r="E15" s="3">
        <v>0</v>
      </c>
      <c r="F15" s="6">
        <f>IF(E15&gt;0,-PMT(C15/12,D15,E15),0)</f>
        <v>0</v>
      </c>
      <c r="G15" s="6">
        <f>IF(AND(D15&gt;359,C15&lt;=0.03),F15*12,0)</f>
        <v>0</v>
      </c>
      <c r="H15" s="65"/>
      <c r="I15" s="164">
        <f>IF(AND(G15=0,E15&gt;0)," NOTE: Leveraged Loan 2 IS NOT eligible for payment assistance consideration.",IF(OR(E15&lt;1,ISBLANK(E15)),"","NOTE: Leveraged Loan 2 IS eligible for payment assistance consideration."))</f>
      </c>
      <c r="J15" s="165"/>
      <c r="K15" s="165"/>
      <c r="L15" s="165"/>
      <c r="M15" s="66"/>
    </row>
    <row r="16" spans="1:13" ht="13.5" customHeight="1">
      <c r="A16" s="21"/>
      <c r="B16" s="43"/>
      <c r="C16" s="69"/>
      <c r="D16" s="70"/>
      <c r="E16" s="71"/>
      <c r="F16" s="6"/>
      <c r="G16" s="6"/>
      <c r="H16" s="68"/>
      <c r="I16" s="165"/>
      <c r="J16" s="165"/>
      <c r="K16" s="165"/>
      <c r="L16" s="165"/>
      <c r="M16" s="66"/>
    </row>
    <row r="17" spans="1:13" ht="13.5" customHeight="1">
      <c r="A17" s="21"/>
      <c r="B17" s="43" t="s">
        <v>98</v>
      </c>
      <c r="C17" s="2">
        <v>0</v>
      </c>
      <c r="D17" s="4">
        <v>0</v>
      </c>
      <c r="E17" s="3">
        <v>0</v>
      </c>
      <c r="F17" s="6">
        <f>IF(E17&gt;0,-PMT(C17/12,D17,E17),0)</f>
        <v>0</v>
      </c>
      <c r="G17" s="6">
        <f>IF(AND(D17&gt;359,C17&lt;=0.03),F17*12,0)</f>
        <v>0</v>
      </c>
      <c r="H17" s="65"/>
      <c r="I17" s="167">
        <f>IF(AND(G17=0,E17&gt;0)," NOTE: Leveraged Loan 3 IS NOT eligible for payment assistance consideration.",IF(OR(E17&lt;1,ISBLANK(E17)),"","NOTE: Leveraged Loan 3 IS eligible for payment assistance consideration."))</f>
      </c>
      <c r="J17" s="168"/>
      <c r="K17" s="168"/>
      <c r="L17" s="168"/>
      <c r="M17" s="67"/>
    </row>
    <row r="18" spans="1:13" ht="13.5" customHeight="1">
      <c r="A18" s="21"/>
      <c r="B18" s="31"/>
      <c r="C18" s="53"/>
      <c r="D18" s="54"/>
      <c r="E18" s="29"/>
      <c r="F18" s="6"/>
      <c r="G18" s="6"/>
      <c r="H18" s="65"/>
      <c r="I18" s="168"/>
      <c r="J18" s="168"/>
      <c r="K18" s="168"/>
      <c r="L18" s="168"/>
      <c r="M18" s="67"/>
    </row>
    <row r="19" spans="1:13" ht="12.75">
      <c r="A19" s="21"/>
      <c r="B19" s="21"/>
      <c r="C19" s="21"/>
      <c r="D19" s="21" t="s">
        <v>76</v>
      </c>
      <c r="E19" s="21"/>
      <c r="F19" s="29">
        <f>SUM(F9:F17)</f>
        <v>0</v>
      </c>
      <c r="G19" s="29">
        <f>SUM(G9:G17)</f>
        <v>0</v>
      </c>
      <c r="I19" s="65"/>
      <c r="J19" s="65"/>
      <c r="K19" s="65"/>
      <c r="L19" s="65"/>
      <c r="M19" s="65"/>
    </row>
    <row r="20" spans="1:13" ht="13.5" thickBot="1">
      <c r="A20" s="33" t="s">
        <v>99</v>
      </c>
      <c r="B20" s="61" t="s">
        <v>100</v>
      </c>
      <c r="C20" s="21"/>
      <c r="D20" s="21"/>
      <c r="E20" s="60" t="s">
        <v>101</v>
      </c>
      <c r="F20" s="29"/>
      <c r="G20" s="29"/>
      <c r="H20" s="21"/>
      <c r="I20" s="22"/>
      <c r="J20" s="22"/>
      <c r="K20" s="22"/>
      <c r="L20" s="22"/>
      <c r="M20" s="22"/>
    </row>
    <row r="21" spans="1:13" ht="12.75">
      <c r="A21" s="21"/>
      <c r="B21" s="1">
        <v>0</v>
      </c>
      <c r="C21" s="21"/>
      <c r="D21" s="21"/>
      <c r="E21" s="1" t="s">
        <v>25</v>
      </c>
      <c r="F21" s="29"/>
      <c r="G21" s="29"/>
      <c r="H21" s="21"/>
      <c r="I21" s="22" t="s">
        <v>103</v>
      </c>
      <c r="J21" s="22"/>
      <c r="K21" s="22"/>
      <c r="L21" s="22"/>
      <c r="M21" s="22"/>
    </row>
    <row r="22" spans="1:13" ht="12.75">
      <c r="A22" s="21"/>
      <c r="B22" s="1"/>
      <c r="C22" s="21"/>
      <c r="D22" s="21"/>
      <c r="E22" s="1"/>
      <c r="F22" s="29"/>
      <c r="G22" s="29"/>
      <c r="H22" s="21"/>
      <c r="I22" s="22" t="s">
        <v>102</v>
      </c>
      <c r="J22" s="22"/>
      <c r="K22" s="22"/>
      <c r="L22" s="22"/>
      <c r="M22" s="22"/>
    </row>
    <row r="23" spans="1:13" ht="12.75">
      <c r="A23" s="21"/>
      <c r="B23" s="1"/>
      <c r="C23" s="21"/>
      <c r="D23" s="21"/>
      <c r="E23" s="1"/>
      <c r="F23" s="21"/>
      <c r="G23" s="21"/>
      <c r="H23" s="21"/>
      <c r="I23" s="22"/>
      <c r="J23" s="22"/>
      <c r="K23" s="22"/>
      <c r="L23" s="22"/>
      <c r="M23" s="22"/>
    </row>
    <row r="24" spans="1:13" ht="12.75">
      <c r="A24" s="21"/>
      <c r="B24" s="18"/>
      <c r="C24" s="21"/>
      <c r="D24" s="21"/>
      <c r="E24" s="18"/>
      <c r="F24" s="21"/>
      <c r="G24" s="21"/>
      <c r="H24" s="21"/>
      <c r="I24" s="22"/>
      <c r="J24" s="22"/>
      <c r="K24" s="22"/>
      <c r="L24" s="22"/>
      <c r="M24" s="22"/>
    </row>
    <row r="25" spans="1:13" ht="25.5">
      <c r="A25" s="21"/>
      <c r="B25" s="21"/>
      <c r="C25" s="21"/>
      <c r="D25" s="14" t="s">
        <v>46</v>
      </c>
      <c r="E25" s="21"/>
      <c r="F25" s="21"/>
      <c r="G25" s="21"/>
      <c r="H25" s="21"/>
      <c r="I25" s="22"/>
      <c r="J25" s="22"/>
      <c r="K25" s="22"/>
      <c r="L25" s="22"/>
      <c r="M25" s="22"/>
    </row>
    <row r="26" spans="1:13" ht="12.75">
      <c r="A26" s="21"/>
      <c r="B26" s="21" t="s">
        <v>42</v>
      </c>
      <c r="C26" s="4"/>
      <c r="D26" s="21"/>
      <c r="E26" s="21"/>
      <c r="F26" s="21" t="s">
        <v>6</v>
      </c>
      <c r="G26" s="21"/>
      <c r="H26" s="3"/>
      <c r="I26" s="22"/>
      <c r="J26" s="22"/>
      <c r="K26" s="22"/>
      <c r="L26" s="22"/>
      <c r="M26" s="22"/>
    </row>
    <row r="27" spans="1:13" ht="13.5" customHeight="1" thickBot="1">
      <c r="A27" s="169"/>
      <c r="B27" s="13" t="s">
        <v>11</v>
      </c>
      <c r="C27" s="4"/>
      <c r="D27" s="29">
        <f>IF(OR(C27="Y",C27="y"),400,0)</f>
        <v>0</v>
      </c>
      <c r="E27" s="21"/>
      <c r="F27" s="21" t="s">
        <v>10</v>
      </c>
      <c r="G27" s="21"/>
      <c r="H27" s="5">
        <f>D32</f>
        <v>0</v>
      </c>
      <c r="I27" s="22"/>
      <c r="J27" s="22"/>
      <c r="K27" s="22"/>
      <c r="L27" s="22"/>
      <c r="M27" s="22"/>
    </row>
    <row r="28" spans="1:13" ht="12.75">
      <c r="A28" s="169"/>
      <c r="B28" s="21" t="s">
        <v>12</v>
      </c>
      <c r="C28" s="4"/>
      <c r="D28" s="29">
        <f>C28*480</f>
        <v>0</v>
      </c>
      <c r="E28" s="21"/>
      <c r="F28" s="21"/>
      <c r="G28" s="21"/>
      <c r="H28" s="21"/>
      <c r="I28" s="22"/>
      <c r="J28" s="22"/>
      <c r="K28" s="22"/>
      <c r="L28" s="22"/>
      <c r="M28" s="22"/>
    </row>
    <row r="29" spans="1:13" ht="12.75">
      <c r="A29" s="169"/>
      <c r="B29" s="21" t="s">
        <v>7</v>
      </c>
      <c r="C29" s="55"/>
      <c r="D29" s="3"/>
      <c r="E29" s="21"/>
      <c r="F29" s="33" t="s">
        <v>13</v>
      </c>
      <c r="G29" s="21"/>
      <c r="H29" s="34">
        <f>IF(H26-H27&lt;0,0,H26-H27)</f>
        <v>0</v>
      </c>
      <c r="I29" s="22"/>
      <c r="J29" s="22"/>
      <c r="K29" s="22"/>
      <c r="L29" s="22"/>
      <c r="M29" s="22"/>
    </row>
    <row r="30" spans="1:13" ht="13.5" thickBot="1">
      <c r="A30" s="169"/>
      <c r="B30" s="21" t="s">
        <v>8</v>
      </c>
      <c r="C30" s="21"/>
      <c r="D30" s="46">
        <v>0</v>
      </c>
      <c r="E30" s="21"/>
      <c r="F30" s="21"/>
      <c r="G30" s="21"/>
      <c r="H30" s="21"/>
      <c r="I30" s="22"/>
      <c r="J30" s="22"/>
      <c r="K30" s="22"/>
      <c r="L30" s="22"/>
      <c r="M30" s="22"/>
    </row>
    <row r="31" spans="1:13" ht="12.75">
      <c r="A31" s="21"/>
      <c r="B31" s="21"/>
      <c r="C31" s="21"/>
      <c r="D31" s="21"/>
      <c r="E31" s="21"/>
      <c r="F31" s="21" t="s">
        <v>44</v>
      </c>
      <c r="G31" s="21"/>
      <c r="H31" s="3"/>
      <c r="I31" s="22"/>
      <c r="J31" s="22"/>
      <c r="K31" s="22"/>
      <c r="L31" s="22"/>
      <c r="M31" s="22"/>
    </row>
    <row r="32" spans="1:13" ht="12.75">
      <c r="A32" s="21"/>
      <c r="B32" s="33" t="s">
        <v>10</v>
      </c>
      <c r="C32" s="21"/>
      <c r="D32" s="34">
        <f>SUM(D27:D30)</f>
        <v>0</v>
      </c>
      <c r="E32" s="21"/>
      <c r="F32" s="21" t="s">
        <v>45</v>
      </c>
      <c r="G32" s="21"/>
      <c r="H32" s="3"/>
      <c r="I32" s="22"/>
      <c r="J32" s="22"/>
      <c r="K32" s="22"/>
      <c r="L32" s="22"/>
      <c r="M32" s="22"/>
    </row>
    <row r="33" spans="1:13" ht="12.75">
      <c r="A33" s="21"/>
      <c r="B33" s="33"/>
      <c r="C33" s="21"/>
      <c r="D33" s="34"/>
      <c r="E33" s="21"/>
      <c r="F33" s="21"/>
      <c r="G33" s="21"/>
      <c r="H33" s="29"/>
      <c r="I33" s="21"/>
      <c r="J33" s="21"/>
      <c r="K33" s="21"/>
      <c r="L33" s="21"/>
      <c r="M33" s="21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35" t="s">
        <v>14</v>
      </c>
      <c r="B35" s="21"/>
      <c r="C35" s="21"/>
      <c r="D35" s="21"/>
      <c r="E35" s="35" t="s">
        <v>19</v>
      </c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36" t="s">
        <v>22</v>
      </c>
      <c r="B36" s="29">
        <f>(G19+H31+H32)/12</f>
        <v>0</v>
      </c>
      <c r="C36" s="29"/>
      <c r="D36" s="21"/>
      <c r="E36" s="21" t="s">
        <v>23</v>
      </c>
      <c r="F36" s="21"/>
      <c r="G36" s="21"/>
      <c r="H36" s="42">
        <f>(G9+G10+G11)/12</f>
        <v>0</v>
      </c>
      <c r="I36" s="21"/>
      <c r="J36" s="21"/>
      <c r="K36" s="21"/>
      <c r="L36" s="21"/>
      <c r="M36" s="21"/>
    </row>
    <row r="37" spans="1:13" ht="13.5" thickBot="1">
      <c r="A37" s="21" t="s">
        <v>17</v>
      </c>
      <c r="B37" s="32">
        <f>(0.24*H29)/12</f>
        <v>0</v>
      </c>
      <c r="C37" s="29"/>
      <c r="D37" s="21"/>
      <c r="E37" s="21" t="s">
        <v>110</v>
      </c>
      <c r="F37" s="22"/>
      <c r="G37" s="21"/>
      <c r="H37" s="64" t="e">
        <f>IF(F11&gt;0,-PMT(0.01/12,D9,E9)-PMT(0.01/12,D10,E10)-PMT(0.01/12,D11,E11),IF(AND(F11=0,F10&gt;0),-PMT(0.01/12,D10,E10)-PMT(0.01/12,D9,E9),-PMT(0.01/12,D9,E9)))</f>
        <v>#DIV/0!</v>
      </c>
      <c r="I37" s="21"/>
      <c r="J37" s="21"/>
      <c r="K37" s="21"/>
      <c r="L37" s="21"/>
      <c r="M37" s="21"/>
    </row>
    <row r="38" spans="1:13" ht="12.75">
      <c r="A38" s="30" t="s">
        <v>18</v>
      </c>
      <c r="B38" s="29">
        <f>IF(B36-B37&lt;0,0,B36-B37)</f>
        <v>0</v>
      </c>
      <c r="C38" s="29"/>
      <c r="D38" s="21"/>
      <c r="E38" s="21" t="s">
        <v>18</v>
      </c>
      <c r="F38" s="21"/>
      <c r="G38" s="21"/>
      <c r="H38" s="42" t="e">
        <f>H36-H37</f>
        <v>#DIV/0!</v>
      </c>
      <c r="I38" s="21"/>
      <c r="J38" s="21"/>
      <c r="K38" s="21"/>
      <c r="L38" s="21"/>
      <c r="M38" s="21"/>
    </row>
    <row r="39" spans="1:13" ht="12.75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  <c r="L39" s="21"/>
      <c r="M39" s="21"/>
    </row>
    <row r="40" spans="1:13" ht="12.75">
      <c r="A40" s="21"/>
      <c r="B40" s="21"/>
      <c r="C40" s="21"/>
      <c r="D40" s="21"/>
      <c r="E40" s="22"/>
      <c r="F40" s="22"/>
      <c r="G40" s="22"/>
      <c r="H40" s="21"/>
      <c r="I40" s="21"/>
      <c r="J40" s="21"/>
      <c r="K40" s="21"/>
      <c r="L40" s="21"/>
      <c r="M40" s="21"/>
    </row>
    <row r="41" spans="1:13" ht="25.5">
      <c r="A41" s="21"/>
      <c r="B41" s="15" t="s">
        <v>47</v>
      </c>
      <c r="C41" s="21"/>
      <c r="D41" s="51" t="str">
        <f>A9</f>
        <v>Initial Loan</v>
      </c>
      <c r="E41" s="51" t="str">
        <f>A10</f>
        <v>Subsequent Loan 1</v>
      </c>
      <c r="F41" s="62" t="str">
        <f>A11</f>
        <v>Subsequent Loan 2</v>
      </c>
      <c r="G41" s="16" t="s">
        <v>48</v>
      </c>
      <c r="H41" s="21"/>
      <c r="I41" s="21"/>
      <c r="J41" s="21"/>
      <c r="K41" s="21"/>
      <c r="L41" s="21"/>
      <c r="M41" s="21"/>
    </row>
    <row r="42" spans="1:13" ht="12.75">
      <c r="A42" s="21"/>
      <c r="B42" s="33" t="s">
        <v>20</v>
      </c>
      <c r="C42" s="33"/>
      <c r="D42" s="17" t="e">
        <f>IF(B38&lt;H38,B38*(F9/(F11+F10+F9)),H38*(F9/(F11+F10+F9)))</f>
        <v>#DIV/0!</v>
      </c>
      <c r="E42" s="17" t="e">
        <f>IF(B38&lt;H38,B38*(F10/(F11+F10+F9)),H38*(F10/(F11+F10+F9)))</f>
        <v>#DIV/0!</v>
      </c>
      <c r="F42" s="17" t="e">
        <f>IF(B38&lt;H38,B38*(F11/(F11+F10+F9)),H38*(F11/(F11+F10+F9)))</f>
        <v>#DIV/0!</v>
      </c>
      <c r="G42" s="17" t="e">
        <f>D42+E42+F42</f>
        <v>#DIV/0!</v>
      </c>
      <c r="H42" s="21"/>
      <c r="I42" s="21"/>
      <c r="J42" s="21"/>
      <c r="K42" s="21"/>
      <c r="L42" s="21"/>
      <c r="M42" s="21"/>
    </row>
    <row r="43" spans="1:13" ht="12.75">
      <c r="A43" s="21"/>
      <c r="B43" s="33" t="s">
        <v>21</v>
      </c>
      <c r="C43" s="33"/>
      <c r="D43" s="17" t="e">
        <f>F9-D42</f>
        <v>#DIV/0!</v>
      </c>
      <c r="E43" s="17" t="e">
        <f>F10-E42</f>
        <v>#DIV/0!</v>
      </c>
      <c r="F43" s="63" t="e">
        <f>F11-F42</f>
        <v>#DIV/0!</v>
      </c>
      <c r="G43" s="17" t="e">
        <f>D43+E43+F43</f>
        <v>#DIV/0!</v>
      </c>
      <c r="H43" s="21"/>
      <c r="I43" s="21"/>
      <c r="J43" s="21"/>
      <c r="K43" s="21"/>
      <c r="L43" s="21"/>
      <c r="M43" s="21"/>
    </row>
    <row r="44" spans="1:13" ht="12.75">
      <c r="A44" s="21"/>
      <c r="B44" s="21"/>
      <c r="C44" s="21"/>
      <c r="D44" s="21"/>
      <c r="E44" s="22"/>
      <c r="F44" s="22"/>
      <c r="G44" s="22"/>
      <c r="H44" s="21"/>
      <c r="I44" s="21"/>
      <c r="J44" s="21"/>
      <c r="K44" s="21"/>
      <c r="L44" s="21"/>
      <c r="M44" s="21"/>
    </row>
    <row r="45" spans="1:13" ht="15">
      <c r="A45" s="22"/>
      <c r="B45" s="153" t="s">
        <v>154</v>
      </c>
      <c r="C45" s="21"/>
      <c r="D45" s="21"/>
      <c r="E45" s="22"/>
      <c r="F45" s="22"/>
      <c r="G45" s="22"/>
      <c r="H45" s="21"/>
      <c r="I45" s="21"/>
      <c r="J45" s="21"/>
      <c r="K45" s="21"/>
      <c r="L45" s="21"/>
      <c r="M45" s="21"/>
    </row>
    <row r="46" spans="1:13" ht="12.75">
      <c r="A46" s="22"/>
      <c r="B46" s="21"/>
      <c r="C46" s="21"/>
      <c r="D46" s="21"/>
      <c r="E46" s="22"/>
      <c r="F46" s="22"/>
      <c r="G46" s="22"/>
      <c r="H46" s="21"/>
      <c r="I46" s="21"/>
      <c r="J46" s="21"/>
      <c r="K46" s="21"/>
      <c r="L46" s="21"/>
      <c r="M46" s="21"/>
    </row>
    <row r="47" spans="1:13" ht="12.75">
      <c r="A47" s="22"/>
      <c r="B47" s="21"/>
      <c r="C47" s="21"/>
      <c r="D47" s="21"/>
      <c r="E47" s="22"/>
      <c r="F47" s="22"/>
      <c r="G47" s="22"/>
      <c r="H47" s="21"/>
      <c r="I47" s="21"/>
      <c r="J47" s="21"/>
      <c r="K47" s="21"/>
      <c r="L47" s="21"/>
      <c r="M47" s="21"/>
    </row>
    <row r="48" spans="1:13" s="52" customFormat="1" ht="12.75">
      <c r="A48" s="12">
        <f>IF(C6&gt;D6,"EFFECTIVE DATE MUST BE PRIOR TO EXPIRATION DATE","")</f>
      </c>
      <c r="B48" s="21"/>
      <c r="C48" s="21"/>
      <c r="D48" s="15" t="str">
        <f>IF(ISBLANK(C28)," ",IF(C28&gt;=C26,"DEPENDENTS &gt;= FAMILY SIZE"," "))</f>
        <v> </v>
      </c>
      <c r="E48" s="22"/>
      <c r="F48" s="22"/>
      <c r="G48" s="22"/>
      <c r="H48" s="21"/>
      <c r="I48" s="21"/>
      <c r="J48" s="21"/>
      <c r="K48" s="21"/>
      <c r="L48" s="21"/>
      <c r="M48" s="21"/>
    </row>
    <row r="49" spans="1:13" s="52" customFormat="1" ht="12.75">
      <c r="A49" s="12" t="str">
        <f>IF(C26&gt;10,"VERIFY FAMILY SIZE"," ")</f>
        <v> </v>
      </c>
      <c r="B49" s="21"/>
      <c r="C49" s="22"/>
      <c r="D49" s="12" t="str">
        <f>IF(H26&gt;100000,"VERIFY ANNUAL INCOME"," ")</f>
        <v> </v>
      </c>
      <c r="E49" s="22"/>
      <c r="F49" s="22"/>
      <c r="G49" s="22"/>
      <c r="H49" s="21"/>
      <c r="I49" s="21"/>
      <c r="J49" s="21"/>
      <c r="K49" s="21"/>
      <c r="L49" s="21"/>
      <c r="M49" s="21"/>
    </row>
    <row r="50" spans="1:4" s="52" customFormat="1" ht="12.75">
      <c r="A50" s="20"/>
      <c r="B50" s="18"/>
      <c r="D50" s="20" t="str">
        <f>IF(OR(D29&gt;9999,D30&gt;9999,H31&gt;9999,H32&gt;9999),"VERIFY EITHER CHILD CARE, MEDICAL, REAL ESTATE TAX OR PROPERTY INSURANCE &gt; $9,999"," ")</f>
        <v> </v>
      </c>
    </row>
    <row r="59" ht="12.75" hidden="1">
      <c r="C59" t="s">
        <v>96</v>
      </c>
    </row>
    <row r="60" ht="12.75" hidden="1">
      <c r="C60" t="s">
        <v>97</v>
      </c>
    </row>
  </sheetData>
  <sheetProtection password="E90C" sheet="1" objects="1" scenarios="1" selectLockedCells="1"/>
  <mergeCells count="4">
    <mergeCell ref="I15:L16"/>
    <mergeCell ref="I13:L14"/>
    <mergeCell ref="I17:L18"/>
    <mergeCell ref="A27:A30"/>
  </mergeCells>
  <dataValidations count="4">
    <dataValidation type="whole" allowBlank="1" showInputMessage="1" showErrorMessage="1" sqref="C26">
      <formula1>1</formula1>
      <formula2>15</formula2>
    </dataValidation>
    <dataValidation type="whole" allowBlank="1" showInputMessage="1" showErrorMessage="1" sqref="D9:D11">
      <formula1>0</formula1>
      <formula2>456</formula2>
    </dataValidation>
    <dataValidation type="decimal" allowBlank="1" showInputMessage="1" showErrorMessage="1" sqref="E12 E14 E16">
      <formula1>0</formula1>
      <formula2>400000</formula2>
    </dataValidation>
    <dataValidation type="list" allowBlank="1" showInputMessage="1" showErrorMessage="1" sqref="C27">
      <formula1>$C$59:$C$60</formula1>
    </dataValidation>
  </dataValidations>
  <printOptions/>
  <pageMargins left="0.75" right="0.75" top="1" bottom="0.75" header="0.5" footer="0.5"/>
  <pageSetup horizontalDpi="600" verticalDpi="600" orientation="landscape" scale="7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34.00390625" style="92" customWidth="1"/>
    <col min="2" max="2" width="28.140625" style="92" customWidth="1"/>
    <col min="3" max="3" width="14.7109375" style="92" bestFit="1" customWidth="1"/>
    <col min="4" max="4" width="39.140625" style="95" customWidth="1"/>
    <col min="5" max="5" width="27.421875" style="92" customWidth="1"/>
    <col min="6" max="6" width="15.140625" style="92" customWidth="1"/>
    <col min="7" max="7" width="11.7109375" style="92" customWidth="1"/>
    <col min="8" max="8" width="10.140625" style="92" bestFit="1" customWidth="1"/>
    <col min="9" max="9" width="14.57421875" style="92" customWidth="1"/>
    <col min="10" max="16384" width="9.140625" style="92" customWidth="1"/>
  </cols>
  <sheetData>
    <row r="1" spans="1:7" ht="18.75">
      <c r="A1" s="80" t="s">
        <v>39</v>
      </c>
      <c r="B1" s="37"/>
      <c r="C1" s="37"/>
      <c r="E1" s="37"/>
      <c r="F1" s="15" t="s">
        <v>146</v>
      </c>
      <c r="G1" s="74"/>
    </row>
    <row r="2" spans="1:7" ht="12.75" customHeight="1">
      <c r="A2" s="80"/>
      <c r="B2" s="37"/>
      <c r="C2" s="37"/>
      <c r="D2" s="109" t="s">
        <v>119</v>
      </c>
      <c r="E2" s="112"/>
      <c r="F2" s="74"/>
      <c r="G2" s="74"/>
    </row>
    <row r="3" spans="1:7" ht="12.75" customHeight="1">
      <c r="A3" s="80"/>
      <c r="B3" s="37"/>
      <c r="C3" s="37"/>
      <c r="D3" s="108" t="s">
        <v>118</v>
      </c>
      <c r="E3" s="113" t="s">
        <v>25</v>
      </c>
      <c r="F3" s="74"/>
      <c r="G3" s="74"/>
    </row>
    <row r="4" spans="1:7" s="37" customFormat="1" ht="18.75">
      <c r="A4" s="80"/>
      <c r="D4" s="78" t="s">
        <v>136</v>
      </c>
      <c r="E4" s="79">
        <f>'Payment Assistance Calc'!E9+'Payment Assistance Calc'!E10+'Payment Assistance Calc'!E11</f>
        <v>0</v>
      </c>
      <c r="F4" s="74"/>
      <c r="G4" s="74"/>
    </row>
    <row r="5" spans="1:7" s="37" customFormat="1" ht="18" customHeight="1">
      <c r="A5" s="80"/>
      <c r="E5" s="146" t="str">
        <f>IF(E4&gt;E7,"Loan Does not Qualify at Proposed Amount!"," ")</f>
        <v> </v>
      </c>
      <c r="F5" s="74"/>
      <c r="G5" s="74"/>
    </row>
    <row r="6" spans="1:8" ht="15" customHeight="1">
      <c r="A6" s="80" t="str">
        <f>'Payment Assistance Calc'!A3</f>
        <v>Applicant #1</v>
      </c>
      <c r="B6" s="80">
        <f>'Payment Assistance Calc'!B3</f>
        <v>0</v>
      </c>
      <c r="C6" s="37"/>
      <c r="E6" s="148" t="str">
        <f>IF(AND(E3&lt;C50,E4&lt;=C50),"Area Loan Limit Enforced"," ")</f>
        <v> </v>
      </c>
      <c r="F6" s="37"/>
      <c r="G6" s="37"/>
      <c r="H6" s="93"/>
    </row>
    <row r="7" spans="1:8" ht="15" customHeight="1">
      <c r="A7" s="80" t="str">
        <f>'Payment Assistance Calc'!A4</f>
        <v>Applicant #2</v>
      </c>
      <c r="B7" s="80">
        <f>'Payment Assistance Calc'!B4</f>
        <v>0</v>
      </c>
      <c r="C7" s="37"/>
      <c r="D7" s="144" t="s">
        <v>137</v>
      </c>
      <c r="E7" s="145">
        <f>IF(C50&gt;E3,E3,C50)</f>
        <v>0</v>
      </c>
      <c r="F7" s="37"/>
      <c r="G7" s="37"/>
      <c r="H7" s="93"/>
    </row>
    <row r="8" spans="1:10" ht="24.75" customHeight="1">
      <c r="A8" s="80"/>
      <c r="B8" s="37"/>
      <c r="C8" s="37"/>
      <c r="D8" s="81"/>
      <c r="E8" s="129" t="str">
        <f>IF(E25=0,"Please Enter Repayment Income",(IF(B49=0,"Est. Max Loan does not qualify for Payment Assistance"," ")))</f>
        <v>Please Enter Repayment Income</v>
      </c>
      <c r="F8" s="171" t="s">
        <v>25</v>
      </c>
      <c r="G8" s="37"/>
      <c r="H8" s="94"/>
      <c r="I8" s="94"/>
      <c r="J8" s="95"/>
    </row>
    <row r="9" spans="1:10" ht="12.75" customHeight="1">
      <c r="A9" s="80"/>
      <c r="B9" s="37"/>
      <c r="C9" s="37"/>
      <c r="D9" s="92"/>
      <c r="E9" s="37"/>
      <c r="F9" s="171"/>
      <c r="G9" s="37"/>
      <c r="H9" s="94"/>
      <c r="I9" s="94"/>
      <c r="J9" s="95"/>
    </row>
    <row r="10" spans="1:8" ht="15.75">
      <c r="A10" s="37" t="s">
        <v>29</v>
      </c>
      <c r="B10" s="50" t="s">
        <v>30</v>
      </c>
      <c r="C10" s="37"/>
      <c r="D10" s="82" t="s">
        <v>24</v>
      </c>
      <c r="E10" s="37"/>
      <c r="F10" s="37"/>
      <c r="G10" s="37"/>
      <c r="H10" s="96"/>
    </row>
    <row r="11" spans="1:9" s="57" customFormat="1" ht="15.75">
      <c r="A11" s="37"/>
      <c r="B11" s="56"/>
      <c r="C11" s="56"/>
      <c r="D11" s="82"/>
      <c r="E11" s="37"/>
      <c r="F11" s="37"/>
      <c r="G11" s="37"/>
      <c r="H11" s="77"/>
      <c r="I11" s="58"/>
    </row>
    <row r="12" spans="1:8" ht="12.75">
      <c r="A12" s="37"/>
      <c r="B12" s="37"/>
      <c r="C12" s="37"/>
      <c r="D12" s="81"/>
      <c r="E12" s="37"/>
      <c r="F12" s="37"/>
      <c r="G12" s="37"/>
      <c r="H12" s="96"/>
    </row>
    <row r="13" spans="1:7" ht="12.75">
      <c r="A13" s="170" t="s">
        <v>26</v>
      </c>
      <c r="B13" s="170"/>
      <c r="C13" s="170"/>
      <c r="D13" s="37"/>
      <c r="E13" s="83" t="s">
        <v>107</v>
      </c>
      <c r="F13" s="74"/>
      <c r="G13" s="74"/>
    </row>
    <row r="14" spans="1:7" ht="12.75">
      <c r="A14" s="37" t="s">
        <v>27</v>
      </c>
      <c r="B14" s="38" t="s">
        <v>28</v>
      </c>
      <c r="C14" s="38"/>
      <c r="D14" s="37" t="s">
        <v>27</v>
      </c>
      <c r="E14" s="38" t="s">
        <v>106</v>
      </c>
      <c r="F14" s="84"/>
      <c r="G14" s="37"/>
    </row>
    <row r="15" spans="1:7" ht="12.75">
      <c r="A15" s="105"/>
      <c r="B15" s="106">
        <v>0</v>
      </c>
      <c r="C15" s="59"/>
      <c r="D15" s="105"/>
      <c r="E15" s="106">
        <v>0</v>
      </c>
      <c r="F15" s="37"/>
      <c r="G15" s="37"/>
    </row>
    <row r="16" spans="1:7" ht="12.75">
      <c r="A16" s="105"/>
      <c r="B16" s="106" t="s">
        <v>25</v>
      </c>
      <c r="C16" s="59"/>
      <c r="D16" s="105"/>
      <c r="E16" s="106"/>
      <c r="F16" s="37"/>
      <c r="G16" s="37"/>
    </row>
    <row r="17" spans="1:7" ht="12.75">
      <c r="A17" s="105"/>
      <c r="B17" s="106"/>
      <c r="C17" s="59"/>
      <c r="D17" s="105"/>
      <c r="E17" s="126"/>
      <c r="F17" s="37"/>
      <c r="G17" s="37"/>
    </row>
    <row r="18" spans="1:7" ht="12.75">
      <c r="A18" s="105"/>
      <c r="B18" s="106"/>
      <c r="C18" s="59"/>
      <c r="D18" s="105"/>
      <c r="E18" s="106"/>
      <c r="F18" s="37"/>
      <c r="G18" s="37"/>
    </row>
    <row r="19" spans="1:7" ht="12.75">
      <c r="A19" s="105" t="s">
        <v>25</v>
      </c>
      <c r="B19" s="106"/>
      <c r="C19" s="59"/>
      <c r="D19" s="105"/>
      <c r="E19" s="106"/>
      <c r="F19" s="37"/>
      <c r="G19" s="37"/>
    </row>
    <row r="20" spans="1:7" ht="12.75">
      <c r="A20" s="105"/>
      <c r="B20" s="106"/>
      <c r="C20" s="59"/>
      <c r="D20" s="105"/>
      <c r="E20" s="106"/>
      <c r="F20" s="37"/>
      <c r="G20" s="37"/>
    </row>
    <row r="21" spans="1:7" ht="12.75">
      <c r="A21" s="105"/>
      <c r="B21" s="106"/>
      <c r="C21" s="59"/>
      <c r="D21" s="105"/>
      <c r="E21" s="106"/>
      <c r="F21" s="37"/>
      <c r="G21" s="37"/>
    </row>
    <row r="22" spans="1:7" ht="12.75">
      <c r="A22" s="105"/>
      <c r="B22" s="106"/>
      <c r="C22" s="59"/>
      <c r="D22" s="105"/>
      <c r="E22" s="106"/>
      <c r="F22" s="37"/>
      <c r="G22" s="37"/>
    </row>
    <row r="23" spans="1:7" s="57" customFormat="1" ht="12.75">
      <c r="A23" s="105"/>
      <c r="B23" s="106"/>
      <c r="C23" s="59"/>
      <c r="D23" s="105"/>
      <c r="E23" s="106"/>
      <c r="F23" s="37"/>
      <c r="G23" s="37"/>
    </row>
    <row r="24" spans="1:7" s="57" customFormat="1" ht="12.75">
      <c r="A24" s="105"/>
      <c r="B24" s="106"/>
      <c r="C24" s="59"/>
      <c r="D24" s="105"/>
      <c r="E24" s="106"/>
      <c r="F24" s="37"/>
      <c r="G24" s="37"/>
    </row>
    <row r="25" spans="1:7" s="57" customFormat="1" ht="12.75">
      <c r="A25" s="78" t="s">
        <v>33</v>
      </c>
      <c r="B25" s="6">
        <f>SUM(B15:B24)</f>
        <v>0</v>
      </c>
      <c r="C25" s="6"/>
      <c r="D25" s="78" t="s">
        <v>33</v>
      </c>
      <c r="E25" s="6">
        <f>SUM(E15:E24)</f>
        <v>0</v>
      </c>
      <c r="F25" s="37"/>
      <c r="G25" s="37"/>
    </row>
    <row r="26" spans="1:7" ht="12.75">
      <c r="A26" s="37"/>
      <c r="B26" s="6"/>
      <c r="C26" s="37"/>
      <c r="D26" s="81" t="s">
        <v>112</v>
      </c>
      <c r="E26" s="6">
        <f>'Payment Assistance Calc'!H26</f>
        <v>0</v>
      </c>
      <c r="F26" s="37"/>
      <c r="G26" s="37"/>
    </row>
    <row r="27" spans="1:7" ht="12.75">
      <c r="A27" s="37"/>
      <c r="B27" s="6"/>
      <c r="C27" s="85"/>
      <c r="D27" s="81"/>
      <c r="E27" s="37"/>
      <c r="F27" s="37"/>
      <c r="G27" s="37"/>
    </row>
    <row r="28" spans="1:7" ht="12.75">
      <c r="A28" s="37" t="s">
        <v>108</v>
      </c>
      <c r="B28" s="17">
        <f>E25</f>
        <v>0</v>
      </c>
      <c r="C28" s="85"/>
      <c r="D28" s="37" t="s">
        <v>32</v>
      </c>
      <c r="E28" s="86">
        <f>B35</f>
        <v>0</v>
      </c>
      <c r="F28" s="37"/>
      <c r="G28" s="37"/>
    </row>
    <row r="29" spans="1:7" ht="12.75">
      <c r="A29" s="37" t="s">
        <v>109</v>
      </c>
      <c r="B29" s="17">
        <f>B28/12</f>
        <v>0</v>
      </c>
      <c r="C29" s="85"/>
      <c r="D29" s="37" t="s">
        <v>36</v>
      </c>
      <c r="E29" s="17">
        <f>IF(B10="VERY LOW",B29*0.29,B29*0.33)</f>
        <v>0</v>
      </c>
      <c r="F29" s="74"/>
      <c r="G29" s="37" t="s">
        <v>25</v>
      </c>
    </row>
    <row r="30" spans="1:7" ht="12.75">
      <c r="A30" s="37"/>
      <c r="B30" s="17"/>
      <c r="C30" s="85"/>
      <c r="D30" s="37" t="s">
        <v>34</v>
      </c>
      <c r="E30" s="87">
        <f>IF(ISERROR(E28/B29),0,(E28/B29))</f>
        <v>0</v>
      </c>
      <c r="F30" s="73" t="str">
        <f>IF(E30&gt;B54,"OVER LIMIT!!"," ")</f>
        <v> </v>
      </c>
      <c r="G30" s="37"/>
    </row>
    <row r="31" spans="1:7" ht="12.75">
      <c r="A31" s="91" t="str">
        <f>'Payment Assistance Calc'!B43</f>
        <v>Monthly Installment (P&amp;I)</v>
      </c>
      <c r="B31" s="86">
        <f>IF(ISERROR('Payment Assistance Calc'!G43),0,('Payment Assistance Calc'!G43))</f>
        <v>0</v>
      </c>
      <c r="C31" s="85"/>
      <c r="D31" s="37"/>
      <c r="E31" s="37"/>
      <c r="F31" s="37"/>
      <c r="G31" s="37"/>
    </row>
    <row r="32" spans="1:7" ht="12.75">
      <c r="A32" s="37" t="s">
        <v>16</v>
      </c>
      <c r="B32" s="17">
        <f>'Payment Assistance Calc'!H31/12</f>
        <v>0</v>
      </c>
      <c r="C32" s="85"/>
      <c r="D32" s="81"/>
      <c r="F32" s="37"/>
      <c r="G32" s="37"/>
    </row>
    <row r="33" spans="1:7" ht="12.75">
      <c r="A33" s="37" t="s">
        <v>15</v>
      </c>
      <c r="B33" s="17">
        <f>'Payment Assistance Calc'!H32/12</f>
        <v>0</v>
      </c>
      <c r="C33" s="37"/>
      <c r="D33" s="81" t="s">
        <v>111</v>
      </c>
      <c r="E33" s="17">
        <f>E28+B25</f>
        <v>0</v>
      </c>
      <c r="F33" s="37"/>
      <c r="G33" s="37"/>
    </row>
    <row r="34" spans="1:7" ht="12.75">
      <c r="A34" s="75" t="s">
        <v>5</v>
      </c>
      <c r="B34" s="76">
        <f>SUM('Payment Assistance Calc'!F13:F17)</f>
        <v>0</v>
      </c>
      <c r="C34" s="45"/>
      <c r="D34" s="37" t="s">
        <v>113</v>
      </c>
      <c r="E34" s="17">
        <f>B29*0.41</f>
        <v>0</v>
      </c>
      <c r="G34" s="37"/>
    </row>
    <row r="35" spans="1:7" ht="12.75">
      <c r="A35" s="15" t="s">
        <v>114</v>
      </c>
      <c r="B35" s="17">
        <f>B31+B32+B33+B34</f>
        <v>0</v>
      </c>
      <c r="C35" s="45"/>
      <c r="D35" s="37" t="s">
        <v>35</v>
      </c>
      <c r="E35" s="87">
        <f>IF(ISERROR((E28+B25)/B29),0,((E28+B25)/B29))</f>
        <v>0</v>
      </c>
      <c r="F35" s="73" t="str">
        <f>IF(E35&gt;0.41,"OVER LIMIT!!"," ")</f>
        <v> </v>
      </c>
      <c r="G35" s="37"/>
    </row>
    <row r="36" spans="1:7" ht="12.75">
      <c r="A36" s="45" t="s">
        <v>26</v>
      </c>
      <c r="B36" s="88" t="s">
        <v>25</v>
      </c>
      <c r="C36" s="45"/>
      <c r="D36" s="81"/>
      <c r="E36" s="89"/>
      <c r="F36" s="74"/>
      <c r="G36" s="72" t="s">
        <v>25</v>
      </c>
    </row>
    <row r="37" spans="1:11" ht="12.75">
      <c r="A37" s="45"/>
      <c r="B37" s="45"/>
      <c r="C37" s="45"/>
      <c r="D37" s="123" t="s">
        <v>25</v>
      </c>
      <c r="E37" s="130" t="s">
        <v>25</v>
      </c>
      <c r="F37" s="37"/>
      <c r="G37" s="90"/>
      <c r="H37" s="97" t="s">
        <v>25</v>
      </c>
      <c r="I37" s="96"/>
      <c r="J37" s="96"/>
      <c r="K37" s="96"/>
    </row>
    <row r="38" spans="1:11" ht="15">
      <c r="A38" s="45"/>
      <c r="B38" s="149" t="s">
        <v>151</v>
      </c>
      <c r="C38" s="45"/>
      <c r="D38" s="123"/>
      <c r="E38" s="45"/>
      <c r="F38" s="37"/>
      <c r="G38" s="90"/>
      <c r="H38" s="96"/>
      <c r="I38" s="96"/>
      <c r="J38" s="96"/>
      <c r="K38" s="96"/>
    </row>
    <row r="39" spans="1:11" ht="15">
      <c r="A39" s="45"/>
      <c r="B39" s="151" t="s">
        <v>153</v>
      </c>
      <c r="C39" s="74"/>
      <c r="D39" s="150"/>
      <c r="E39" s="74"/>
      <c r="F39" s="37"/>
      <c r="G39" s="90"/>
      <c r="H39" s="96"/>
      <c r="I39" s="96"/>
      <c r="J39" s="96"/>
      <c r="K39" s="96"/>
    </row>
    <row r="40" spans="1:11" ht="15">
      <c r="A40" s="45"/>
      <c r="B40" s="152" t="s">
        <v>152</v>
      </c>
      <c r="C40" s="74"/>
      <c r="D40" s="150"/>
      <c r="E40" s="74"/>
      <c r="F40" s="37"/>
      <c r="G40" s="90"/>
      <c r="H40" s="96"/>
      <c r="I40" s="96"/>
      <c r="J40" s="96"/>
      <c r="K40" s="96"/>
    </row>
    <row r="41" spans="1:14" ht="12.75">
      <c r="A41" s="99"/>
      <c r="B41" s="104" t="s">
        <v>25</v>
      </c>
      <c r="C41" s="99"/>
      <c r="D41" s="147"/>
      <c r="E41" s="99"/>
      <c r="F41" s="100"/>
      <c r="G41" s="101"/>
      <c r="H41" s="102"/>
      <c r="I41" s="102"/>
      <c r="J41" s="102"/>
      <c r="K41" s="102"/>
      <c r="L41" s="103"/>
      <c r="M41" s="103"/>
      <c r="N41" s="103"/>
    </row>
    <row r="42" spans="1:14" ht="12.75">
      <c r="A42" s="93"/>
      <c r="B42" s="98" t="s">
        <v>25</v>
      </c>
      <c r="C42" s="98"/>
      <c r="D42" s="110"/>
      <c r="E42" s="98" t="s">
        <v>25</v>
      </c>
      <c r="F42" s="101"/>
      <c r="G42" s="101"/>
      <c r="H42" s="102"/>
      <c r="I42" s="102"/>
      <c r="J42" s="102"/>
      <c r="K42" s="102"/>
      <c r="L42" s="103"/>
      <c r="M42" s="103"/>
      <c r="N42" s="103"/>
    </row>
    <row r="43" spans="1:14" ht="12.75">
      <c r="A43" s="98"/>
      <c r="B43" s="98"/>
      <c r="C43" s="98"/>
      <c r="D43" s="110" t="s">
        <v>25</v>
      </c>
      <c r="E43" s="98"/>
      <c r="F43" s="99"/>
      <c r="G43" s="99"/>
      <c r="H43" s="99"/>
      <c r="I43" s="102"/>
      <c r="J43" s="102"/>
      <c r="K43" s="102"/>
      <c r="L43" s="103"/>
      <c r="M43" s="103"/>
      <c r="N43" s="103"/>
    </row>
    <row r="44" spans="1:14" ht="12.75">
      <c r="A44" s="99"/>
      <c r="B44" s="99"/>
      <c r="C44" s="99"/>
      <c r="D44" s="111"/>
      <c r="E44" s="99"/>
      <c r="F44" s="99"/>
      <c r="G44" s="99"/>
      <c r="H44" s="99"/>
      <c r="I44" s="99"/>
      <c r="J44" s="142"/>
      <c r="K44" s="142"/>
      <c r="L44" s="142"/>
      <c r="M44" s="103"/>
      <c r="N44" s="103"/>
    </row>
    <row r="45" spans="1:14" ht="12.75">
      <c r="A45" s="99"/>
      <c r="B45" s="99" t="s">
        <v>25</v>
      </c>
      <c r="C45" s="99" t="s">
        <v>134</v>
      </c>
      <c r="D45" s="132" t="s">
        <v>135</v>
      </c>
      <c r="E45" s="99"/>
      <c r="F45" s="99"/>
      <c r="G45" s="99"/>
      <c r="H45" s="99"/>
      <c r="I45" s="99"/>
      <c r="J45" s="142"/>
      <c r="K45" s="142"/>
      <c r="L45" s="142"/>
      <c r="M45" s="103"/>
      <c r="N45" s="103"/>
    </row>
    <row r="46" spans="1:15" ht="12.75">
      <c r="A46" s="133" t="s">
        <v>122</v>
      </c>
      <c r="B46" s="104">
        <f>E29-B34-(B32+B33)</f>
        <v>0</v>
      </c>
      <c r="C46" s="134">
        <f>IF(B46&gt;0,(ROUNDDOWN((B46*(1-(1/((1+(1/100/12))^C53))))/(1/100/12),-1)),0)</f>
        <v>0</v>
      </c>
      <c r="D46" s="135">
        <f>-(PV('Payment Assistance Calc'!C9/12,396,B46))</f>
        <v>0</v>
      </c>
      <c r="E46" s="111"/>
      <c r="F46" s="116"/>
      <c r="G46" s="99"/>
      <c r="H46" s="99"/>
      <c r="I46" s="99"/>
      <c r="J46" s="99"/>
      <c r="K46" s="142"/>
      <c r="L46" s="142"/>
      <c r="M46" s="103"/>
      <c r="N46" s="103"/>
      <c r="O46" s="103"/>
    </row>
    <row r="47" spans="1:15" ht="12.75">
      <c r="A47" s="136" t="s">
        <v>123</v>
      </c>
      <c r="B47" s="104">
        <f>E34-(B32+B33+B25+B34)</f>
        <v>0</v>
      </c>
      <c r="C47" s="134">
        <f>IF(B47&gt;0,(ROUNDDOWN((B47*(1-(1/((1+(1/100/12))^C53))))/(1/100/12),-1)),0)</f>
        <v>0</v>
      </c>
      <c r="D47" s="135">
        <f>-(PV('Payment Assistance Calc'!C9/12,396,B47))</f>
        <v>0</v>
      </c>
      <c r="E47" s="111" t="s">
        <v>25</v>
      </c>
      <c r="F47" s="104"/>
      <c r="G47" s="99"/>
      <c r="H47" s="99"/>
      <c r="I47" s="99"/>
      <c r="J47" s="99"/>
      <c r="K47" s="142"/>
      <c r="L47" s="142"/>
      <c r="M47" s="103"/>
      <c r="N47" s="103"/>
      <c r="O47" s="103"/>
    </row>
    <row r="48" spans="1:15" ht="12.75">
      <c r="A48" s="116" t="s">
        <v>126</v>
      </c>
      <c r="B48" s="137">
        <f>'Payment Assistance Calc'!H29*0.24/12-B32-B33-F64</f>
        <v>0</v>
      </c>
      <c r="C48" s="134">
        <f>IF(B48&gt;0,(ROUNDDOWN((B48*(1-(1/((1+(1/100/12))^C53))))/(1/100/12),-1)),0)</f>
        <v>0</v>
      </c>
      <c r="D48" s="135">
        <f>IF(D46&gt;D47,D47,D46)</f>
        <v>0</v>
      </c>
      <c r="E48" s="111"/>
      <c r="F48" s="99"/>
      <c r="G48" s="104" t="s">
        <v>25</v>
      </c>
      <c r="H48" s="99"/>
      <c r="I48" s="99"/>
      <c r="J48" s="99"/>
      <c r="K48" s="142"/>
      <c r="L48" s="142"/>
      <c r="M48" s="103"/>
      <c r="N48" s="103"/>
      <c r="O48" s="103"/>
    </row>
    <row r="49" spans="1:15" ht="12.75">
      <c r="A49" s="138" t="s">
        <v>115</v>
      </c>
      <c r="B49" s="137">
        <f>IF(AND(B47&gt;=B48,B46&gt;=B48),IF(B46&gt;=B47,B47,B46),0)</f>
        <v>0</v>
      </c>
      <c r="C49" s="134">
        <f>IF(B49&gt;0,(ROUNDDOWN((B49*(1-(1/((1+(1/100/12))^C53))))/(1/100/12),-1)),0)</f>
        <v>0</v>
      </c>
      <c r="D49" s="134" t="s">
        <v>25</v>
      </c>
      <c r="E49" s="111" t="s">
        <v>25</v>
      </c>
      <c r="F49" s="99"/>
      <c r="G49" s="104" t="s">
        <v>25</v>
      </c>
      <c r="H49" s="99"/>
      <c r="I49" s="99"/>
      <c r="J49" s="99"/>
      <c r="K49" s="142"/>
      <c r="L49" s="142"/>
      <c r="M49" s="103"/>
      <c r="N49" s="103"/>
      <c r="O49" s="103"/>
    </row>
    <row r="50" spans="1:15" ht="12.75">
      <c r="A50" s="131"/>
      <c r="B50" s="116" t="s">
        <v>120</v>
      </c>
      <c r="C50" s="104">
        <f>ROUNDDOWN(IF(D48&gt;C49,D48,C49),0)</f>
        <v>0</v>
      </c>
      <c r="D50" s="99"/>
      <c r="E50" s="111"/>
      <c r="F50" s="99"/>
      <c r="G50" s="99"/>
      <c r="H50" s="99"/>
      <c r="I50" s="99"/>
      <c r="J50" s="99"/>
      <c r="K50" s="142"/>
      <c r="L50" s="142"/>
      <c r="M50" s="103"/>
      <c r="N50" s="103"/>
      <c r="O50" s="103"/>
    </row>
    <row r="51" spans="1:14" ht="12.75">
      <c r="A51" s="131"/>
      <c r="B51" s="131"/>
      <c r="C51" s="99"/>
      <c r="D51" s="111"/>
      <c r="E51" s="99"/>
      <c r="F51" s="99"/>
      <c r="G51" s="99"/>
      <c r="H51" s="99"/>
      <c r="I51" s="99"/>
      <c r="J51" s="142"/>
      <c r="K51" s="142"/>
      <c r="L51" s="142"/>
      <c r="M51" s="103"/>
      <c r="N51" s="103"/>
    </row>
    <row r="52" spans="1:14" ht="12.75">
      <c r="A52" s="116" t="s">
        <v>133</v>
      </c>
      <c r="B52" s="99">
        <f>IF(B46&lt;B47,B46,B47)</f>
        <v>0</v>
      </c>
      <c r="C52" s="139" t="s">
        <v>129</v>
      </c>
      <c r="D52" s="111"/>
      <c r="E52" s="99"/>
      <c r="F52" s="99"/>
      <c r="G52" s="99"/>
      <c r="H52" s="99"/>
      <c r="I52" s="99"/>
      <c r="J52" s="142"/>
      <c r="K52" s="142"/>
      <c r="L52" s="142"/>
      <c r="M52" s="103"/>
      <c r="N52" s="103"/>
    </row>
    <row r="53" spans="1:14" ht="12.75">
      <c r="A53" s="116" t="s">
        <v>132</v>
      </c>
      <c r="B53" s="99">
        <f>IF(B48&gt;B52,B48-B52,0)</f>
        <v>0</v>
      </c>
      <c r="C53" s="118">
        <f>IF('Payment Assistance Calc'!D9=0,396,'Payment Assistance Calc'!D9)</f>
        <v>396</v>
      </c>
      <c r="D53" s="111"/>
      <c r="E53" s="99"/>
      <c r="F53" s="99"/>
      <c r="G53" s="99"/>
      <c r="H53" s="99"/>
      <c r="I53" s="99"/>
      <c r="J53" s="142"/>
      <c r="K53" s="142"/>
      <c r="L53" s="142"/>
      <c r="M53" s="103"/>
      <c r="N53" s="103"/>
    </row>
    <row r="54" spans="1:14" ht="12.75">
      <c r="A54" s="116" t="s">
        <v>116</v>
      </c>
      <c r="B54" s="99">
        <f>IF(B10="LOW",0.33,0.29)</f>
        <v>0.33</v>
      </c>
      <c r="C54" s="99"/>
      <c r="D54" s="140"/>
      <c r="E54" s="99"/>
      <c r="F54" s="99"/>
      <c r="G54" s="99"/>
      <c r="H54" s="99"/>
      <c r="I54" s="99"/>
      <c r="J54" s="142"/>
      <c r="K54" s="142"/>
      <c r="L54" s="142"/>
      <c r="M54" s="103"/>
      <c r="N54" s="103"/>
    </row>
    <row r="55" spans="1:14" ht="12.75">
      <c r="A55" s="99" t="s">
        <v>37</v>
      </c>
      <c r="B55" s="141">
        <f>E34-B46</f>
        <v>0</v>
      </c>
      <c r="C55" s="99"/>
      <c r="D55" s="111"/>
      <c r="E55" s="99"/>
      <c r="F55" s="99"/>
      <c r="G55" s="99"/>
      <c r="H55" s="99"/>
      <c r="I55" s="99"/>
      <c r="J55" s="142"/>
      <c r="K55" s="142"/>
      <c r="L55" s="142"/>
      <c r="M55" s="103"/>
      <c r="N55" s="103"/>
    </row>
    <row r="56" spans="1:14" ht="12.75">
      <c r="A56" s="99" t="s">
        <v>38</v>
      </c>
      <c r="B56" s="99">
        <f>IF(B55-B25&lt;0,B55-B25,0)</f>
        <v>0</v>
      </c>
      <c r="C56" s="99" t="s">
        <v>25</v>
      </c>
      <c r="D56" s="111"/>
      <c r="E56" s="99"/>
      <c r="F56" s="99"/>
      <c r="G56" s="99"/>
      <c r="H56" s="99"/>
      <c r="I56" s="99"/>
      <c r="J56" s="142"/>
      <c r="K56" s="142"/>
      <c r="L56" s="142"/>
      <c r="M56" s="103"/>
      <c r="N56" s="103"/>
    </row>
    <row r="57" spans="1:14" ht="12.75">
      <c r="A57" s="99"/>
      <c r="B57" s="99"/>
      <c r="C57" s="99"/>
      <c r="D57" s="111"/>
      <c r="E57" s="99"/>
      <c r="F57" s="99"/>
      <c r="G57" s="99"/>
      <c r="H57" s="99"/>
      <c r="I57" s="99"/>
      <c r="J57" s="142"/>
      <c r="K57" s="142"/>
      <c r="L57" s="142"/>
      <c r="M57" s="103"/>
      <c r="N57" s="103"/>
    </row>
    <row r="58" spans="1:14" ht="12.75">
      <c r="A58" s="99"/>
      <c r="B58" s="99"/>
      <c r="C58" s="99"/>
      <c r="D58" s="111"/>
      <c r="E58" s="104">
        <f>E34-B55</f>
        <v>0</v>
      </c>
      <c r="F58" s="99"/>
      <c r="G58" s="99"/>
      <c r="H58" s="99"/>
      <c r="I58" s="99"/>
      <c r="J58" s="142"/>
      <c r="K58" s="142"/>
      <c r="L58" s="142"/>
      <c r="M58" s="103"/>
      <c r="N58" s="103"/>
    </row>
    <row r="59" spans="1:14" ht="12.75">
      <c r="A59" s="99"/>
      <c r="B59" s="99"/>
      <c r="C59" s="99"/>
      <c r="D59" s="99"/>
      <c r="E59" s="99"/>
      <c r="F59" s="99"/>
      <c r="G59" s="99"/>
      <c r="H59" s="99"/>
      <c r="I59" s="99"/>
      <c r="J59" s="142"/>
      <c r="K59" s="142"/>
      <c r="L59" s="142"/>
      <c r="M59" s="103"/>
      <c r="N59" s="103"/>
    </row>
    <row r="60" spans="1:15" s="115" customFormat="1" ht="12.75">
      <c r="A60" s="124" t="s">
        <v>127</v>
      </c>
      <c r="B60" s="116" t="s">
        <v>128</v>
      </c>
      <c r="C60" s="116" t="s">
        <v>47</v>
      </c>
      <c r="D60" s="111"/>
      <c r="E60" s="111" t="s">
        <v>130</v>
      </c>
      <c r="F60" s="117" t="s">
        <v>131</v>
      </c>
      <c r="G60" s="117"/>
      <c r="H60" s="117"/>
      <c r="I60" s="117"/>
      <c r="J60" s="143"/>
      <c r="K60" s="143"/>
      <c r="L60" s="143"/>
      <c r="M60" s="114"/>
      <c r="N60" s="114"/>
      <c r="O60" s="114"/>
    </row>
    <row r="61" spans="1:15" ht="12.75">
      <c r="A61" s="45" t="s">
        <v>74</v>
      </c>
      <c r="B61" s="45">
        <f>'Payment Assistance Calc'!C13</f>
        <v>0</v>
      </c>
      <c r="C61" s="99">
        <f>IF('Payment Assistance Calc'!C13&lt;=0.03,'Payment Assistance Calc'!E13)</f>
        <v>0</v>
      </c>
      <c r="D61" s="116" t="s">
        <v>129</v>
      </c>
      <c r="E61" s="119" t="e">
        <f>-(PMT(B61/12,D62,C61,0))</f>
        <v>#DIV/0!</v>
      </c>
      <c r="F61" s="120">
        <f>IF(ISERROR(E61),0,E61)</f>
        <v>0</v>
      </c>
      <c r="G61" s="99"/>
      <c r="H61" s="99"/>
      <c r="I61" s="99"/>
      <c r="J61" s="142"/>
      <c r="K61" s="142"/>
      <c r="L61" s="142"/>
      <c r="M61" s="103"/>
      <c r="N61" s="103"/>
      <c r="O61" s="103"/>
    </row>
    <row r="62" spans="1:15" ht="12.75">
      <c r="A62" s="99" t="s">
        <v>75</v>
      </c>
      <c r="B62" s="99">
        <f>'Payment Assistance Calc'!C15</f>
        <v>0</v>
      </c>
      <c r="C62" s="99">
        <f>IF('Payment Assistance Calc'!C15&lt;=0.03,'Payment Assistance Calc'!E15)</f>
        <v>0</v>
      </c>
      <c r="D62" s="118">
        <f>'Payment Assistance Calc'!D13</f>
        <v>0</v>
      </c>
      <c r="E62" s="119" t="e">
        <f>-(PMT(B62/12,D63,C62,0))</f>
        <v>#DIV/0!</v>
      </c>
      <c r="F62" s="120">
        <f>IF(ISERROR(E62),0,E62)</f>
        <v>0</v>
      </c>
      <c r="G62" s="99"/>
      <c r="H62" s="99"/>
      <c r="I62" s="99"/>
      <c r="J62" s="142"/>
      <c r="K62" s="142"/>
      <c r="L62" s="142"/>
      <c r="M62" s="103"/>
      <c r="N62" s="103"/>
      <c r="O62" s="103"/>
    </row>
    <row r="63" spans="1:15" ht="12.75">
      <c r="A63" s="99" t="s">
        <v>98</v>
      </c>
      <c r="B63" s="99">
        <f>'Payment Assistance Calc'!C17</f>
        <v>0</v>
      </c>
      <c r="C63" s="99">
        <f>'Payment Assistance Calc'!E17</f>
        <v>0</v>
      </c>
      <c r="D63" s="118">
        <f>'Payment Assistance Calc'!D15</f>
        <v>0</v>
      </c>
      <c r="E63" s="119" t="e">
        <f>-(PMT(B63/12,D64,C63,0))</f>
        <v>#DIV/0!</v>
      </c>
      <c r="F63" s="120">
        <f>IF(ISERROR(E63),0,E63)</f>
        <v>0</v>
      </c>
      <c r="G63" s="99"/>
      <c r="H63" s="99"/>
      <c r="I63" s="99"/>
      <c r="J63" s="142"/>
      <c r="K63" s="142"/>
      <c r="L63" s="142"/>
      <c r="M63" s="103"/>
      <c r="N63" s="103"/>
      <c r="O63" s="103"/>
    </row>
    <row r="64" spans="1:15" ht="12.75">
      <c r="A64" s="99" t="s">
        <v>124</v>
      </c>
      <c r="B64" s="99"/>
      <c r="C64" s="99"/>
      <c r="D64" s="118">
        <f>'Payment Assistance Calc'!D17</f>
        <v>0</v>
      </c>
      <c r="E64" s="119" t="e">
        <f>E61+E62+E63</f>
        <v>#DIV/0!</v>
      </c>
      <c r="F64" s="120">
        <f>SUM(F61:F63)</f>
        <v>0</v>
      </c>
      <c r="G64" s="99"/>
      <c r="H64" s="99"/>
      <c r="I64" s="99"/>
      <c r="J64" s="142"/>
      <c r="K64" s="142"/>
      <c r="L64" s="142"/>
      <c r="M64" s="103"/>
      <c r="N64" s="103"/>
      <c r="O64" s="103"/>
    </row>
    <row r="65" spans="1:14" ht="12.75">
      <c r="A65" s="99"/>
      <c r="B65" s="99"/>
      <c r="C65" s="99"/>
      <c r="D65" s="125" t="s">
        <v>125</v>
      </c>
      <c r="E65" s="99" t="s">
        <v>25</v>
      </c>
      <c r="F65" s="121" t="s">
        <v>25</v>
      </c>
      <c r="G65" s="99"/>
      <c r="H65" s="99"/>
      <c r="I65" s="99"/>
      <c r="J65" s="142"/>
      <c r="K65" s="142"/>
      <c r="L65" s="142"/>
      <c r="M65" s="103"/>
      <c r="N65" s="103"/>
    </row>
    <row r="66" spans="1:14" ht="12.75">
      <c r="A66" s="99"/>
      <c r="B66" s="99"/>
      <c r="C66" s="99"/>
      <c r="D66" s="111"/>
      <c r="E66" s="99" t="s">
        <v>25</v>
      </c>
      <c r="F66" s="99"/>
      <c r="G66" s="99"/>
      <c r="H66" s="99"/>
      <c r="I66" s="99"/>
      <c r="J66" s="142"/>
      <c r="K66" s="142"/>
      <c r="L66" s="142"/>
      <c r="M66" s="103"/>
      <c r="N66" s="103"/>
    </row>
    <row r="67" spans="1:14" ht="12.75">
      <c r="A67" s="99"/>
      <c r="B67" s="99"/>
      <c r="C67" s="99"/>
      <c r="D67" s="111" t="s">
        <v>25</v>
      </c>
      <c r="E67" s="99"/>
      <c r="F67" s="99"/>
      <c r="G67" s="99"/>
      <c r="H67" s="99"/>
      <c r="I67" s="99"/>
      <c r="J67" s="142"/>
      <c r="K67" s="142"/>
      <c r="L67" s="142"/>
      <c r="M67" s="103"/>
      <c r="N67" s="103"/>
    </row>
    <row r="68" spans="1:14" ht="12.75">
      <c r="A68" s="99"/>
      <c r="B68" s="99"/>
      <c r="C68" s="99"/>
      <c r="D68" s="111"/>
      <c r="E68" s="99"/>
      <c r="F68" s="99"/>
      <c r="G68" s="99"/>
      <c r="H68" s="99"/>
      <c r="I68" s="99"/>
      <c r="J68" s="142"/>
      <c r="K68" s="142"/>
      <c r="L68" s="142"/>
      <c r="M68" s="103"/>
      <c r="N68" s="103"/>
    </row>
    <row r="69" spans="1:14" ht="12.75">
      <c r="A69" s="128"/>
      <c r="B69" s="128"/>
      <c r="C69" s="128"/>
      <c r="D69" s="127"/>
      <c r="E69" s="128"/>
      <c r="F69" s="99"/>
      <c r="G69" s="99"/>
      <c r="H69" s="99"/>
      <c r="I69" s="103"/>
      <c r="J69" s="103"/>
      <c r="K69" s="103"/>
      <c r="L69" s="103"/>
      <c r="M69" s="103"/>
      <c r="N69" s="103"/>
    </row>
    <row r="70" spans="1:14" ht="12.75">
      <c r="A70" s="128"/>
      <c r="B70" s="128"/>
      <c r="C70" s="128"/>
      <c r="D70" s="127"/>
      <c r="E70" s="128"/>
      <c r="F70" s="99"/>
      <c r="G70" s="99"/>
      <c r="H70" s="99"/>
      <c r="I70" s="103"/>
      <c r="J70" s="103"/>
      <c r="K70" s="103"/>
      <c r="L70" s="103"/>
      <c r="M70" s="103"/>
      <c r="N70" s="103"/>
    </row>
    <row r="71" spans="1:14" ht="12.75">
      <c r="A71" s="99"/>
      <c r="B71" s="99"/>
      <c r="C71" s="99"/>
      <c r="D71" s="111"/>
      <c r="E71" s="99"/>
      <c r="F71" s="99"/>
      <c r="G71" s="99"/>
      <c r="H71" s="99"/>
      <c r="I71" s="103"/>
      <c r="J71" s="103"/>
      <c r="K71" s="103"/>
      <c r="L71" s="103"/>
      <c r="M71" s="103"/>
      <c r="N71" s="103"/>
    </row>
    <row r="72" spans="1:14" ht="12.75">
      <c r="A72" s="99"/>
      <c r="B72" s="99"/>
      <c r="C72" s="99"/>
      <c r="D72" s="111"/>
      <c r="E72" s="99"/>
      <c r="F72" s="99"/>
      <c r="G72" s="99"/>
      <c r="H72" s="99"/>
      <c r="I72" s="103"/>
      <c r="J72" s="103"/>
      <c r="K72" s="103"/>
      <c r="L72" s="103"/>
      <c r="M72" s="103"/>
      <c r="N72" s="103"/>
    </row>
    <row r="73" spans="1:14" ht="12.75">
      <c r="A73" s="99"/>
      <c r="B73" s="99"/>
      <c r="C73" s="99"/>
      <c r="D73" s="111"/>
      <c r="E73" s="99"/>
      <c r="F73" s="99"/>
      <c r="G73" s="99"/>
      <c r="H73" s="99"/>
      <c r="I73" s="103"/>
      <c r="J73" s="103"/>
      <c r="K73" s="103"/>
      <c r="L73" s="103"/>
      <c r="M73" s="103"/>
      <c r="N73" s="103"/>
    </row>
    <row r="74" spans="1:14" ht="12.75">
      <c r="A74" s="99"/>
      <c r="B74" s="99"/>
      <c r="C74" s="99"/>
      <c r="D74" s="111"/>
      <c r="E74" s="99"/>
      <c r="F74" s="99"/>
      <c r="G74" s="99"/>
      <c r="H74" s="99"/>
      <c r="I74" s="103"/>
      <c r="J74" s="103"/>
      <c r="K74" s="103"/>
      <c r="L74" s="103"/>
      <c r="M74" s="103"/>
      <c r="N74" s="103"/>
    </row>
    <row r="75" spans="1:14" ht="12.75" hidden="1">
      <c r="A75" s="172" t="s">
        <v>88</v>
      </c>
      <c r="B75" s="99"/>
      <c r="C75" s="99"/>
      <c r="D75" s="111"/>
      <c r="E75" s="99"/>
      <c r="F75" s="99"/>
      <c r="G75" s="99"/>
      <c r="H75" s="99"/>
      <c r="I75" s="103"/>
      <c r="J75" s="103"/>
      <c r="K75" s="103"/>
      <c r="L75" s="103"/>
      <c r="M75" s="103"/>
      <c r="N75" s="103"/>
    </row>
    <row r="76" spans="1:14" ht="12.75" hidden="1">
      <c r="A76" s="99" t="s">
        <v>30</v>
      </c>
      <c r="B76" s="99"/>
      <c r="C76" s="99"/>
      <c r="D76" s="111"/>
      <c r="E76" s="99"/>
      <c r="F76" s="99"/>
      <c r="G76" s="99"/>
      <c r="H76" s="99"/>
      <c r="I76" s="103"/>
      <c r="J76" s="103"/>
      <c r="K76" s="103"/>
      <c r="L76" s="103"/>
      <c r="M76" s="103"/>
      <c r="N76" s="103"/>
    </row>
    <row r="77" spans="1:14" ht="12.75" hidden="1">
      <c r="A77" s="173" t="s">
        <v>31</v>
      </c>
      <c r="B77" s="99"/>
      <c r="C77" s="99"/>
      <c r="D77" s="111"/>
      <c r="E77" s="99"/>
      <c r="F77" s="99"/>
      <c r="G77" s="99"/>
      <c r="H77" s="99"/>
      <c r="I77" s="103"/>
      <c r="J77" s="103"/>
      <c r="K77" s="103"/>
      <c r="L77" s="103"/>
      <c r="M77" s="103"/>
      <c r="N77" s="103"/>
    </row>
    <row r="78" spans="1:14" ht="12.75" hidden="1">
      <c r="A78" s="122"/>
      <c r="B78" s="99"/>
      <c r="C78" s="99"/>
      <c r="D78" s="111"/>
      <c r="E78" s="99"/>
      <c r="F78" s="99"/>
      <c r="G78" s="99"/>
      <c r="H78" s="99"/>
      <c r="I78" s="103"/>
      <c r="J78" s="103"/>
      <c r="K78" s="103"/>
      <c r="L78" s="103"/>
      <c r="M78" s="103"/>
      <c r="N78" s="103"/>
    </row>
    <row r="79" spans="1:14" ht="12.75">
      <c r="A79" s="99"/>
      <c r="B79" s="99"/>
      <c r="C79" s="99"/>
      <c r="D79" s="111"/>
      <c r="E79" s="99"/>
      <c r="F79" s="99"/>
      <c r="G79" s="99"/>
      <c r="H79" s="99"/>
      <c r="I79" s="103"/>
      <c r="J79" s="103"/>
      <c r="K79" s="103"/>
      <c r="L79" s="103"/>
      <c r="M79" s="103"/>
      <c r="N79" s="103"/>
    </row>
    <row r="80" spans="1:14" ht="12.75">
      <c r="A80" s="99"/>
      <c r="B80" s="99"/>
      <c r="C80" s="99"/>
      <c r="D80" s="111"/>
      <c r="E80" s="99"/>
      <c r="F80" s="99"/>
      <c r="G80" s="99"/>
      <c r="H80" s="99"/>
      <c r="I80" s="103"/>
      <c r="J80" s="103"/>
      <c r="K80" s="103"/>
      <c r="L80" s="103"/>
      <c r="M80" s="103"/>
      <c r="N80" s="103"/>
    </row>
    <row r="81" spans="1:14" ht="12.75">
      <c r="A81" s="99"/>
      <c r="B81" s="99"/>
      <c r="C81" s="99"/>
      <c r="D81" s="111"/>
      <c r="E81" s="99"/>
      <c r="F81" s="99"/>
      <c r="G81" s="99"/>
      <c r="H81" s="99"/>
      <c r="I81" s="103"/>
      <c r="J81" s="103"/>
      <c r="K81" s="103"/>
      <c r="L81" s="103"/>
      <c r="M81" s="103"/>
      <c r="N81" s="103"/>
    </row>
    <row r="82" spans="1:14" ht="12.75">
      <c r="A82" s="99"/>
      <c r="B82" s="99"/>
      <c r="C82" s="99"/>
      <c r="D82" s="111"/>
      <c r="E82" s="99"/>
      <c r="F82" s="99"/>
      <c r="G82" s="99"/>
      <c r="H82" s="99"/>
      <c r="I82" s="103"/>
      <c r="J82" s="103"/>
      <c r="K82" s="103"/>
      <c r="L82" s="103"/>
      <c r="M82" s="103"/>
      <c r="N82" s="103"/>
    </row>
    <row r="83" spans="1:14" ht="12.75">
      <c r="A83" s="99"/>
      <c r="B83" s="99"/>
      <c r="C83" s="99"/>
      <c r="D83" s="111"/>
      <c r="E83" s="99"/>
      <c r="F83" s="99"/>
      <c r="G83" s="99"/>
      <c r="H83" s="99"/>
      <c r="I83" s="103"/>
      <c r="J83" s="103"/>
      <c r="K83" s="103"/>
      <c r="L83" s="103"/>
      <c r="M83" s="103"/>
      <c r="N83" s="103"/>
    </row>
    <row r="84" spans="1:14" ht="12.75">
      <c r="A84" s="99"/>
      <c r="B84" s="99"/>
      <c r="C84" s="99"/>
      <c r="D84" s="111"/>
      <c r="E84" s="99"/>
      <c r="F84" s="99"/>
      <c r="G84" s="99"/>
      <c r="H84" s="99"/>
      <c r="I84" s="103"/>
      <c r="J84" s="103"/>
      <c r="K84" s="103"/>
      <c r="L84" s="103"/>
      <c r="M84" s="103"/>
      <c r="N84" s="103"/>
    </row>
    <row r="85" spans="1:14" ht="12.75">
      <c r="A85" s="99"/>
      <c r="B85" s="99"/>
      <c r="C85" s="99"/>
      <c r="D85" s="111"/>
      <c r="E85" s="99"/>
      <c r="F85" s="99"/>
      <c r="G85" s="99"/>
      <c r="H85" s="99"/>
      <c r="I85" s="103"/>
      <c r="J85" s="103"/>
      <c r="K85" s="103"/>
      <c r="L85" s="103"/>
      <c r="M85" s="103"/>
      <c r="N85" s="103"/>
    </row>
    <row r="86" spans="1:14" ht="12.75">
      <c r="A86" s="99"/>
      <c r="B86" s="99"/>
      <c r="C86" s="99"/>
      <c r="D86" s="111"/>
      <c r="E86" s="99"/>
      <c r="F86" s="99"/>
      <c r="G86" s="99"/>
      <c r="H86" s="99"/>
      <c r="I86" s="103"/>
      <c r="J86" s="103"/>
      <c r="K86" s="103"/>
      <c r="L86" s="103"/>
      <c r="M86" s="103"/>
      <c r="N86" s="103"/>
    </row>
    <row r="87" spans="1:8" ht="12.75">
      <c r="A87" s="45"/>
      <c r="B87" s="45"/>
      <c r="C87" s="45"/>
      <c r="D87" s="111"/>
      <c r="E87" s="45"/>
      <c r="F87" s="45"/>
      <c r="G87" s="45"/>
      <c r="H87" s="45"/>
    </row>
    <row r="88" spans="1:8" ht="12.75">
      <c r="A88" s="45"/>
      <c r="B88" s="45"/>
      <c r="C88" s="45"/>
      <c r="D88" s="123"/>
      <c r="E88" s="45"/>
      <c r="F88" s="45"/>
      <c r="G88" s="45"/>
      <c r="H88" s="45"/>
    </row>
    <row r="89" spans="1:8" ht="12.75">
      <c r="A89" s="45"/>
      <c r="B89" s="45"/>
      <c r="C89" s="45"/>
      <c r="D89" s="123"/>
      <c r="E89" s="45"/>
      <c r="F89" s="45"/>
      <c r="G89" s="45"/>
      <c r="H89" s="45"/>
    </row>
    <row r="90" spans="1:8" ht="12.75">
      <c r="A90" s="45"/>
      <c r="B90" s="45"/>
      <c r="C90" s="45"/>
      <c r="D90" s="123"/>
      <c r="E90" s="45"/>
      <c r="F90" s="45"/>
      <c r="G90" s="45"/>
      <c r="H90" s="45"/>
    </row>
    <row r="91" spans="1:8" ht="12.75">
      <c r="A91" s="45"/>
      <c r="B91" s="45"/>
      <c r="C91" s="45"/>
      <c r="D91" s="123"/>
      <c r="E91" s="45"/>
      <c r="F91" s="45"/>
      <c r="G91" s="45"/>
      <c r="H91" s="45"/>
    </row>
    <row r="92" spans="1:8" ht="12.75">
      <c r="A92" s="45"/>
      <c r="B92" s="45"/>
      <c r="C92" s="45"/>
      <c r="D92" s="123"/>
      <c r="E92" s="45"/>
      <c r="F92" s="45"/>
      <c r="G92" s="45"/>
      <c r="H92" s="45"/>
    </row>
    <row r="93" spans="1:8" ht="12.75">
      <c r="A93" s="45"/>
      <c r="B93" s="45"/>
      <c r="C93" s="45"/>
      <c r="D93" s="123"/>
      <c r="E93" s="45"/>
      <c r="F93" s="45"/>
      <c r="G93" s="45"/>
      <c r="H93" s="45"/>
    </row>
    <row r="94" spans="1:8" ht="12.75">
      <c r="A94" s="45"/>
      <c r="B94" s="45"/>
      <c r="C94" s="45"/>
      <c r="D94" s="123"/>
      <c r="E94" s="45"/>
      <c r="F94" s="45"/>
      <c r="G94" s="45"/>
      <c r="H94" s="45"/>
    </row>
    <row r="95" spans="1:8" ht="12.75">
      <c r="A95" s="45"/>
      <c r="B95" s="45"/>
      <c r="C95" s="45"/>
      <c r="D95" s="123"/>
      <c r="E95" s="45"/>
      <c r="F95" s="45"/>
      <c r="G95" s="45"/>
      <c r="H95" s="45"/>
    </row>
    <row r="96" spans="1:8" ht="12.75">
      <c r="A96" s="45"/>
      <c r="B96" s="45"/>
      <c r="C96" s="45"/>
      <c r="D96" s="123"/>
      <c r="E96" s="45"/>
      <c r="F96" s="45"/>
      <c r="G96" s="45"/>
      <c r="H96" s="45"/>
    </row>
    <row r="97" spans="1:8" ht="12.75">
      <c r="A97" s="45"/>
      <c r="B97" s="45"/>
      <c r="C97" s="45"/>
      <c r="D97" s="123"/>
      <c r="E97" s="45"/>
      <c r="F97" s="45"/>
      <c r="G97" s="45"/>
      <c r="H97" s="45"/>
    </row>
    <row r="98" spans="1:8" ht="12.75">
      <c r="A98" s="45"/>
      <c r="B98" s="45"/>
      <c r="C98" s="45"/>
      <c r="D98" s="123"/>
      <c r="E98" s="45"/>
      <c r="F98" s="45"/>
      <c r="G98" s="45"/>
      <c r="H98" s="45"/>
    </row>
    <row r="99" spans="1:8" ht="12.75">
      <c r="A99" s="45"/>
      <c r="B99" s="45"/>
      <c r="C99" s="45"/>
      <c r="D99" s="123"/>
      <c r="E99" s="45"/>
      <c r="F99" s="45"/>
      <c r="G99" s="45"/>
      <c r="H99" s="45"/>
    </row>
    <row r="100" spans="1:8" ht="12.75">
      <c r="A100" s="45"/>
      <c r="B100" s="45"/>
      <c r="C100" s="45"/>
      <c r="D100" s="123"/>
      <c r="E100" s="45"/>
      <c r="F100" s="45"/>
      <c r="G100" s="45"/>
      <c r="H100" s="45"/>
    </row>
    <row r="101" spans="1:8" ht="12.75">
      <c r="A101" s="45"/>
      <c r="B101" s="45"/>
      <c r="C101" s="45"/>
      <c r="D101" s="123"/>
      <c r="E101" s="45"/>
      <c r="F101" s="45"/>
      <c r="G101" s="45"/>
      <c r="H101" s="45"/>
    </row>
    <row r="102" spans="1:8" ht="12.75">
      <c r="A102" s="45"/>
      <c r="B102" s="45"/>
      <c r="C102" s="45"/>
      <c r="D102" s="123"/>
      <c r="E102" s="45"/>
      <c r="F102" s="45"/>
      <c r="G102" s="45"/>
      <c r="H102" s="45"/>
    </row>
    <row r="103" spans="1:8" ht="12.75">
      <c r="A103" s="45"/>
      <c r="B103" s="45"/>
      <c r="C103" s="45"/>
      <c r="D103" s="123"/>
      <c r="E103" s="45"/>
      <c r="F103" s="45"/>
      <c r="G103" s="45"/>
      <c r="H103" s="45"/>
    </row>
    <row r="104" spans="1:8" ht="12.75">
      <c r="A104" s="45"/>
      <c r="B104" s="45"/>
      <c r="C104" s="45"/>
      <c r="D104" s="123"/>
      <c r="E104" s="45"/>
      <c r="F104" s="45"/>
      <c r="G104" s="45"/>
      <c r="H104" s="45"/>
    </row>
    <row r="105" spans="1:8" ht="12.75">
      <c r="A105" s="45"/>
      <c r="B105" s="45"/>
      <c r="C105" s="45"/>
      <c r="D105" s="123"/>
      <c r="E105" s="45"/>
      <c r="F105" s="45"/>
      <c r="G105" s="45"/>
      <c r="H105" s="45"/>
    </row>
    <row r="106" spans="1:8" ht="12.75">
      <c r="A106" s="45"/>
      <c r="B106" s="45"/>
      <c r="C106" s="45"/>
      <c r="D106" s="123"/>
      <c r="E106" s="45"/>
      <c r="F106" s="45"/>
      <c r="G106" s="45"/>
      <c r="H106" s="45"/>
    </row>
    <row r="107" spans="1:8" ht="12.75">
      <c r="A107" s="45"/>
      <c r="B107" s="45"/>
      <c r="C107" s="45"/>
      <c r="D107" s="123"/>
      <c r="E107" s="45"/>
      <c r="F107" s="45"/>
      <c r="G107" s="45"/>
      <c r="H107" s="45"/>
    </row>
    <row r="108" spans="1:8" ht="12.75">
      <c r="A108" s="45"/>
      <c r="B108" s="45"/>
      <c r="C108" s="45"/>
      <c r="D108" s="123"/>
      <c r="E108" s="45"/>
      <c r="F108" s="45"/>
      <c r="G108" s="45"/>
      <c r="H108" s="45"/>
    </row>
    <row r="109" spans="1:8" ht="12.75">
      <c r="A109" s="45"/>
      <c r="B109" s="45"/>
      <c r="C109" s="45"/>
      <c r="D109" s="123"/>
      <c r="E109" s="45"/>
      <c r="F109" s="45"/>
      <c r="G109" s="45"/>
      <c r="H109" s="45"/>
    </row>
    <row r="110" spans="1:8" ht="12.75">
      <c r="A110" s="45"/>
      <c r="B110" s="45"/>
      <c r="C110" s="45"/>
      <c r="D110" s="123"/>
      <c r="E110" s="45"/>
      <c r="F110" s="45"/>
      <c r="G110" s="45"/>
      <c r="H110" s="45"/>
    </row>
    <row r="111" ht="12.75">
      <c r="D111" s="123"/>
    </row>
  </sheetData>
  <sheetProtection password="E90C" sheet="1" objects="1" scenarios="1" selectLockedCells="1"/>
  <mergeCells count="2">
    <mergeCell ref="A13:C13"/>
    <mergeCell ref="F8:F9"/>
  </mergeCells>
  <dataValidations count="3">
    <dataValidation type="decimal" showInputMessage="1" showErrorMessage="1" error="Please enter a number." sqref="B34 B15:C24">
      <formula1>0</formula1>
      <formula2>1000000</formula2>
    </dataValidation>
    <dataValidation type="list" allowBlank="1" showInputMessage="1" showErrorMessage="1" sqref="B10">
      <formula1>$A$76:$A$77</formula1>
    </dataValidation>
    <dataValidation allowBlank="1" showInputMessage="1" showErrorMessage="1" error="Please enter a number." sqref="E3"/>
  </dataValidations>
  <printOptions/>
  <pageMargins left="0.55" right="0.61" top="0.88" bottom="0.88" header="0.5" footer="0.5"/>
  <pageSetup fitToHeight="1" fitToWidth="1" horizontalDpi="600" verticalDpi="600" orientation="landscape" scale="79" r:id="rId2"/>
  <headerFooter alignWithMargins="0">
    <oddFooter>&amp;CPage &amp;P of &amp;N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2.140625" style="0" customWidth="1"/>
    <col min="2" max="2" width="14.28125" style="0" customWidth="1"/>
    <col min="3" max="3" width="10.421875" style="0" customWidth="1"/>
    <col min="4" max="4" width="13.8515625" style="0" customWidth="1"/>
    <col min="12" max="12" width="12.57421875" style="0" customWidth="1"/>
  </cols>
  <sheetData>
    <row r="1" spans="1:12" ht="18">
      <c r="A1" s="154" t="s">
        <v>138</v>
      </c>
      <c r="B1" s="22"/>
      <c r="C1" s="22"/>
      <c r="D1" s="22"/>
      <c r="E1" s="22"/>
      <c r="F1" s="22"/>
      <c r="G1" s="22"/>
      <c r="H1" s="22"/>
      <c r="I1" s="22"/>
      <c r="J1" s="155" t="s">
        <v>146</v>
      </c>
      <c r="K1" s="22"/>
      <c r="L1" s="22"/>
    </row>
    <row r="2" spans="1:12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156" t="s">
        <v>143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156" t="s">
        <v>144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56" t="s">
        <v>150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156" t="s">
        <v>149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2.75">
      <c r="A8" s="15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.75">
      <c r="A9" s="15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15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15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.75">
      <c r="A12" s="156" t="s">
        <v>147</v>
      </c>
      <c r="B12" s="156">
        <f>'Payment Assistance Calc'!B3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156" t="s">
        <v>148</v>
      </c>
      <c r="B13" s="156">
        <f>'Payment Assistance Calc'!B4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39" thickBot="1">
      <c r="A15" s="157" t="s">
        <v>0</v>
      </c>
      <c r="B15" s="157" t="s">
        <v>139</v>
      </c>
      <c r="C15" s="157" t="s">
        <v>140</v>
      </c>
      <c r="D15" s="157" t="s">
        <v>141</v>
      </c>
      <c r="E15" s="157" t="s">
        <v>142</v>
      </c>
      <c r="F15" s="22"/>
      <c r="G15" s="22"/>
      <c r="H15" s="22"/>
      <c r="I15" s="22"/>
      <c r="J15" s="22"/>
      <c r="K15" s="22"/>
      <c r="L15" s="22"/>
    </row>
    <row r="16" spans="1:12" ht="12.75">
      <c r="A16" s="158">
        <f>'Payment Assistance Calc'!B9</f>
        <v>0</v>
      </c>
      <c r="B16" s="159">
        <f>'Payment Assistance Calc'!D9</f>
        <v>0</v>
      </c>
      <c r="C16" s="160" t="e">
        <f>'Payment Assistance Calc'!D43</f>
        <v>#DIV/0!</v>
      </c>
      <c r="D16" s="161">
        <f>'Payment Assistance Calc'!E9</f>
        <v>0</v>
      </c>
      <c r="E16" s="162" t="e">
        <f>RATE(B16,-C16,D16)*12</f>
        <v>#DIV/0!</v>
      </c>
      <c r="F16" s="22"/>
      <c r="G16" s="22"/>
      <c r="H16" s="22"/>
      <c r="I16" s="22"/>
      <c r="J16" s="22"/>
      <c r="K16" s="22"/>
      <c r="L16" s="22"/>
    </row>
    <row r="17" spans="1:1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">
      <c r="A20" s="163" t="s">
        <v>154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</sheetData>
  <sheetProtection password="E90C" sheet="1" objects="1" scenarios="1"/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brad.dierdorf</dc:creator>
  <cp:keywords/>
  <dc:description/>
  <cp:lastModifiedBy>Fujitsu</cp:lastModifiedBy>
  <cp:lastPrinted>2008-04-07T14:35:10Z</cp:lastPrinted>
  <dcterms:created xsi:type="dcterms:W3CDTF">2007-09-04T21:56:03Z</dcterms:created>
  <dcterms:modified xsi:type="dcterms:W3CDTF">2010-11-10T21:02:35Z</dcterms:modified>
  <cp:category/>
  <cp:version/>
  <cp:contentType/>
  <cp:contentStatus/>
</cp:coreProperties>
</file>